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окументы\охорона здоровя 2017\Проект фінплану на 2027 рік\3варіант 2027р\"/>
    </mc:Choice>
  </mc:AlternateContent>
  <bookViews>
    <workbookView xWindow="0" yWindow="0" windowWidth="23010" windowHeight="10620"/>
  </bookViews>
  <sheets>
    <sheet name="розрахунок (6)" sheetId="8" r:id="rId1"/>
  </sheets>
  <definedNames>
    <definedName name="_xlnm.Print_Area" localSheetId="0">'розрахунок (6)'!$A$1:$V$40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8" l="1"/>
  <c r="J24" i="8"/>
  <c r="L36" i="8" l="1"/>
  <c r="T29" i="8"/>
  <c r="Q29" i="8"/>
  <c r="Q19" i="8"/>
  <c r="T19" i="8"/>
  <c r="U28" i="8"/>
  <c r="T28" i="8"/>
  <c r="U23" i="8"/>
  <c r="U18" i="8"/>
  <c r="U17" i="8"/>
  <c r="U15" i="8"/>
  <c r="U14" i="8"/>
  <c r="U13" i="8"/>
  <c r="T13" i="8"/>
  <c r="T14" i="8"/>
  <c r="T15" i="8"/>
  <c r="T16" i="8"/>
  <c r="T17" i="8"/>
  <c r="T18" i="8"/>
  <c r="T20" i="8"/>
  <c r="T21" i="8"/>
  <c r="T22" i="8"/>
  <c r="T23" i="8"/>
  <c r="T25" i="8"/>
  <c r="T12" i="8"/>
  <c r="U24" i="8" l="1"/>
  <c r="T24" i="8"/>
  <c r="Q25" i="8"/>
  <c r="Q34" i="8" l="1"/>
  <c r="Q30" i="8"/>
  <c r="Q28" i="8"/>
  <c r="Q13" i="8"/>
  <c r="Q14" i="8"/>
  <c r="Q15" i="8"/>
  <c r="Q16" i="8"/>
  <c r="Q17" i="8"/>
  <c r="Q18" i="8"/>
  <c r="Q20" i="8"/>
  <c r="Q21" i="8"/>
  <c r="Q22" i="8"/>
  <c r="Q23" i="8"/>
  <c r="Q12" i="8"/>
  <c r="U16" i="8" l="1"/>
  <c r="U21" i="8"/>
  <c r="T27" i="8"/>
  <c r="U22" i="8"/>
  <c r="T32" i="8"/>
  <c r="P24" i="8"/>
  <c r="N24" i="8"/>
  <c r="N33" i="8" s="1"/>
  <c r="O35" i="8"/>
  <c r="P33" i="8"/>
  <c r="P29" i="8"/>
  <c r="P28" i="8"/>
  <c r="P30" i="8" s="1"/>
  <c r="P23" i="8"/>
  <c r="P20" i="8"/>
  <c r="P19" i="8"/>
  <c r="P18" i="8"/>
  <c r="P17" i="8"/>
  <c r="P15" i="8"/>
  <c r="P14" i="8"/>
  <c r="P13" i="8"/>
  <c r="P12" i="8"/>
  <c r="M35" i="8"/>
  <c r="N28" i="8"/>
  <c r="N23" i="8"/>
  <c r="N20" i="8"/>
  <c r="N18" i="8"/>
  <c r="N15" i="8"/>
  <c r="N14" i="8"/>
  <c r="N13" i="8"/>
  <c r="N12" i="8"/>
  <c r="U25" i="8" l="1"/>
  <c r="T26" i="8"/>
  <c r="P26" i="8"/>
  <c r="P31" i="8"/>
  <c r="P35" i="8" s="1"/>
  <c r="P36" i="8" s="1"/>
  <c r="J33" i="8"/>
  <c r="Q33" i="8" s="1"/>
  <c r="T33" i="8" s="1"/>
  <c r="U33" i="8" s="1"/>
  <c r="J14" i="8" l="1"/>
  <c r="K35" i="8" l="1"/>
  <c r="E33" i="8"/>
  <c r="E26" i="8" l="1"/>
  <c r="L33" i="8"/>
  <c r="D30" i="8" l="1"/>
  <c r="E30" i="8"/>
  <c r="H30" i="8"/>
  <c r="D26" i="8"/>
  <c r="H26" i="8"/>
  <c r="H31" i="8" s="1"/>
  <c r="C26" i="8"/>
  <c r="C30" i="8"/>
  <c r="L29" i="8"/>
  <c r="J29" i="8"/>
  <c r="G29" i="8"/>
  <c r="L28" i="8"/>
  <c r="J28" i="8"/>
  <c r="G30" i="8" l="1"/>
  <c r="N29" i="8"/>
  <c r="N30" i="8" s="1"/>
  <c r="E31" i="8"/>
  <c r="E34" i="8" s="1"/>
  <c r="T34" i="8" s="1"/>
  <c r="U34" i="8" s="1"/>
  <c r="D31" i="8"/>
  <c r="L30" i="8"/>
  <c r="C31" i="8"/>
  <c r="J30" i="8"/>
  <c r="U29" i="8" l="1"/>
  <c r="U30" i="8" s="1"/>
  <c r="T30" i="8" l="1"/>
  <c r="T31" i="8" s="1"/>
  <c r="L23" i="8"/>
  <c r="J23" i="8"/>
  <c r="L20" i="8"/>
  <c r="J20" i="8"/>
  <c r="L19" i="8"/>
  <c r="J19" i="8"/>
  <c r="G19" i="8"/>
  <c r="N19" i="8" s="1"/>
  <c r="L18" i="8"/>
  <c r="J18" i="8"/>
  <c r="L17" i="8"/>
  <c r="J17" i="8"/>
  <c r="G17" i="8"/>
  <c r="N17" i="8" s="1"/>
  <c r="L15" i="8"/>
  <c r="J15" i="8"/>
  <c r="L14" i="8"/>
  <c r="L13" i="8"/>
  <c r="J13" i="8"/>
  <c r="L12" i="8"/>
  <c r="J12" i="8"/>
  <c r="U12" i="8" l="1"/>
  <c r="N26" i="8"/>
  <c r="N31" i="8" s="1"/>
  <c r="N35" i="8" s="1"/>
  <c r="N36" i="8" s="1"/>
  <c r="U19" i="8"/>
  <c r="U20" i="8"/>
  <c r="L26" i="8"/>
  <c r="L31" i="8" s="1"/>
  <c r="L35" i="8" s="1"/>
  <c r="J26" i="8"/>
  <c r="Q26" i="8" s="1"/>
  <c r="G26" i="8"/>
  <c r="G31" i="8" s="1"/>
  <c r="G35" i="8" s="1"/>
  <c r="G36" i="8" s="1"/>
  <c r="J31" i="8" l="1"/>
  <c r="Q31" i="8" s="1"/>
  <c r="J35" i="8" l="1"/>
  <c r="U26" i="8"/>
  <c r="U31" i="8" s="1"/>
  <c r="J36" i="8" l="1"/>
  <c r="Q36" i="8" s="1"/>
  <c r="Q35" i="8"/>
  <c r="T35" i="8" s="1"/>
  <c r="U35" i="8" s="1"/>
</calcChain>
</file>

<file path=xl/sharedStrings.xml><?xml version="1.0" encoding="utf-8"?>
<sst xmlns="http://schemas.openxmlformats.org/spreadsheetml/2006/main" count="77" uniqueCount="64">
  <si>
    <t>№ з/п</t>
  </si>
  <si>
    <t>Найменування посад</t>
  </si>
  <si>
    <t>Премія</t>
  </si>
  <si>
    <t>%</t>
  </si>
  <si>
    <t>Посадовий оклад згідно штатного розпису, грн</t>
  </si>
  <si>
    <t>Доплата за використання в роботі деззасобів</t>
  </si>
  <si>
    <t>Надбавки та доплати</t>
  </si>
  <si>
    <t>К-ть фактично зайнятих ставок</t>
  </si>
  <si>
    <t>грн.</t>
  </si>
  <si>
    <t>Доплата до мінімальної заробітної плати</t>
  </si>
  <si>
    <t>К-ть ставок згідно штатного розпису</t>
  </si>
  <si>
    <t>Нарахування на оплату праці, грн.</t>
  </si>
  <si>
    <t>Головний бухгалтер</t>
  </si>
  <si>
    <t>Розрахунок</t>
  </si>
  <si>
    <t xml:space="preserve">   Валентина ПІВНЬОВА</t>
  </si>
  <si>
    <t>молодша медична сестра</t>
  </si>
  <si>
    <t>сестра медична загальної практики сімейної медицини</t>
  </si>
  <si>
    <t>водій</t>
  </si>
  <si>
    <t>головний бухгалтер</t>
  </si>
  <si>
    <t>головна медична сестра</t>
  </si>
  <si>
    <t xml:space="preserve">головний лікар </t>
  </si>
  <si>
    <t>Матвієнко Ю.В.</t>
  </si>
  <si>
    <t>Труханович Т.В.</t>
  </si>
  <si>
    <t>робітник з комплексного обслуговування й ремонту будинків</t>
  </si>
  <si>
    <t>Прізвище,ім'я та по - батькові</t>
  </si>
  <si>
    <t>Білінська А.В.</t>
  </si>
  <si>
    <t>Лисенко І.В.</t>
  </si>
  <si>
    <t>Козуб.О.В.</t>
  </si>
  <si>
    <t>Литвин Л.І.</t>
  </si>
  <si>
    <t>Мойсеєнко С.В.</t>
  </si>
  <si>
    <t>Мірошниченко М.П.</t>
  </si>
  <si>
    <t>Півньова В.І.</t>
  </si>
  <si>
    <t>фельдшер-лаборант</t>
  </si>
  <si>
    <t>Білінський Р.М.</t>
  </si>
  <si>
    <t xml:space="preserve">   Роман  БІЛІНСЬКИЙ</t>
  </si>
  <si>
    <t>Головний лікар</t>
  </si>
  <si>
    <t>завідуюча ПЗ Северинівка</t>
  </si>
  <si>
    <t xml:space="preserve">лікар-терапевт </t>
  </si>
  <si>
    <t xml:space="preserve">            до пояснювальної записки</t>
  </si>
  <si>
    <t>реєстратор</t>
  </si>
  <si>
    <t>вакансія</t>
  </si>
  <si>
    <t>за рахунок коштів НСЗУ</t>
  </si>
  <si>
    <t xml:space="preserve">у тому числі </t>
  </si>
  <si>
    <t>за рахунок коштів МБ</t>
  </si>
  <si>
    <t>психолог</t>
  </si>
  <si>
    <t>Петренко О.М.</t>
  </si>
  <si>
    <t xml:space="preserve">сестра медична </t>
  </si>
  <si>
    <t>фахівець із супроводу ветеранів і демобілізованих осіб</t>
  </si>
  <si>
    <t>ПЗ с.Северинівка</t>
  </si>
  <si>
    <t>АЗПСМ с.Постольне</t>
  </si>
  <si>
    <t xml:space="preserve">за рахунок державної субвенції </t>
  </si>
  <si>
    <t xml:space="preserve">За напруженість та складність        </t>
  </si>
  <si>
    <t>разом по АЗПСМ с.Постольне</t>
  </si>
  <si>
    <t>разом по ПЗ с.Северинівка</t>
  </si>
  <si>
    <t>Разом по КНП</t>
  </si>
  <si>
    <r>
      <t>видатків на оплату праці  до фінансового плану КНП МСР "АЗПСМ с.Постольне</t>
    </r>
    <r>
      <rPr>
        <sz val="14"/>
        <rFont val="Times New Roman"/>
        <family val="1"/>
        <charset val="204"/>
      </rPr>
      <t xml:space="preserve">" </t>
    </r>
    <r>
      <rPr>
        <b/>
        <sz val="14"/>
        <rFont val="Times New Roman"/>
        <family val="1"/>
        <charset val="204"/>
      </rPr>
      <t xml:space="preserve">на 2027 рік </t>
    </r>
  </si>
  <si>
    <t>Заяць О.О.</t>
  </si>
  <si>
    <t>лікар загальної практики - сімейний лікар</t>
  </si>
  <si>
    <t xml:space="preserve">За напруженість та складність   зг.постанови КМУ №868 від 02.08.2024р.   </t>
  </si>
  <si>
    <t>За особливий характер  зг. Постанови КМУ 868 від 02.08.2024р</t>
  </si>
  <si>
    <t>Фонд оплати праці на місяць,грн</t>
  </si>
  <si>
    <t>Матеріальна допомога на оздоровлення, грн</t>
  </si>
  <si>
    <t>Премія до дня медичного працівника, грн</t>
  </si>
  <si>
    <t>Фонд оплати праці на рік,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</si>
</sst>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₴_-;\-* #,##0.00\ _₴_-;_-* &quot;-&quot;??\ _₴_-;_-@_-"/>
    <numFmt numFmtId="164" formatCode="0.0"/>
    <numFmt numFmtId="165" formatCode="#,##0.00\ _₴"/>
  </numFmts>
  <fonts count="8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2" fillId="0" borderId="0" xfId="1" applyFont="1"/>
    <xf numFmtId="9" fontId="4" fillId="0" borderId="0" xfId="0" applyNumberFormat="1" applyFont="1" applyAlignment="1">
      <alignment horizontal="center"/>
    </xf>
    <xf numFmtId="4" fontId="3" fillId="0" borderId="0" xfId="0" applyNumberFormat="1" applyFont="1"/>
    <xf numFmtId="0" fontId="2" fillId="0" borderId="1" xfId="1" applyFont="1" applyBorder="1" applyAlignment="1">
      <alignment horizontal="left" vertical="justify" wrapText="1"/>
    </xf>
    <xf numFmtId="4" fontId="3" fillId="3" borderId="1" xfId="0" applyNumberFormat="1" applyFont="1" applyFill="1" applyBorder="1"/>
    <xf numFmtId="0" fontId="5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0" applyFont="1" applyAlignment="1">
      <alignment horizontal="center"/>
    </xf>
    <xf numFmtId="2" fontId="6" fillId="0" borderId="0" xfId="0" applyNumberFormat="1" applyFont="1"/>
    <xf numFmtId="0" fontId="6" fillId="0" borderId="0" xfId="0" applyFont="1"/>
    <xf numFmtId="0" fontId="2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wrapText="1"/>
    </xf>
    <xf numFmtId="1" fontId="5" fillId="0" borderId="1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0" fontId="3" fillId="0" borderId="1" xfId="0" applyFont="1" applyBorder="1"/>
    <xf numFmtId="4" fontId="5" fillId="3" borderId="1" xfId="1" applyNumberFormat="1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left" vertical="justify" wrapText="1"/>
    </xf>
    <xf numFmtId="0" fontId="2" fillId="0" borderId="1" xfId="1" applyFont="1" applyBorder="1" applyAlignment="1">
      <alignment horizontal="right" vertical="justify" wrapText="1"/>
    </xf>
    <xf numFmtId="164" fontId="2" fillId="0" borderId="1" xfId="1" applyNumberFormat="1" applyFont="1" applyBorder="1" applyAlignment="1">
      <alignment horizontal="right" vertical="justify" wrapText="1"/>
    </xf>
    <xf numFmtId="2" fontId="2" fillId="0" borderId="1" xfId="1" applyNumberFormat="1" applyFont="1" applyBorder="1" applyAlignment="1">
      <alignment horizontal="right" vertical="justify" wrapText="1"/>
    </xf>
    <xf numFmtId="0" fontId="5" fillId="0" borderId="1" xfId="1" applyFont="1" applyBorder="1" applyAlignment="1">
      <alignment horizontal="left" vertical="top" wrapText="1"/>
    </xf>
    <xf numFmtId="2" fontId="5" fillId="0" borderId="1" xfId="1" applyNumberFormat="1" applyFont="1" applyBorder="1" applyAlignment="1">
      <alignment horizontal="right" vertical="justify" wrapText="1"/>
    </xf>
    <xf numFmtId="0" fontId="5" fillId="0" borderId="1" xfId="1" applyFont="1" applyBorder="1" applyAlignment="1">
      <alignment horizontal="left" vertical="justify" wrapText="1"/>
    </xf>
    <xf numFmtId="164" fontId="5" fillId="0" borderId="1" xfId="1" applyNumberFormat="1" applyFont="1" applyBorder="1" applyAlignment="1">
      <alignment horizontal="right" vertical="justify" wrapText="1"/>
    </xf>
    <xf numFmtId="0" fontId="2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right" vertical="justify"/>
    </xf>
    <xf numFmtId="3" fontId="2" fillId="0" borderId="1" xfId="1" applyNumberFormat="1" applyFont="1" applyBorder="1" applyAlignment="1">
      <alignment horizontal="right" vertical="justify"/>
    </xf>
    <xf numFmtId="4" fontId="3" fillId="2" borderId="1" xfId="0" applyNumberFormat="1" applyFont="1" applyFill="1" applyBorder="1" applyAlignment="1">
      <alignment horizontal="right" vertical="justify"/>
    </xf>
    <xf numFmtId="4" fontId="2" fillId="0" borderId="1" xfId="1" applyNumberFormat="1" applyFont="1" applyBorder="1" applyAlignment="1">
      <alignment horizontal="right" vertical="justify" wrapText="1"/>
    </xf>
    <xf numFmtId="3" fontId="2" fillId="0" borderId="1" xfId="1" applyNumberFormat="1" applyFont="1" applyBorder="1" applyAlignment="1">
      <alignment horizontal="right" vertical="justify" wrapText="1"/>
    </xf>
    <xf numFmtId="4" fontId="5" fillId="3" borderId="1" xfId="1" applyNumberFormat="1" applyFont="1" applyFill="1" applyBorder="1" applyAlignment="1">
      <alignment horizontal="right" vertical="justify"/>
    </xf>
    <xf numFmtId="0" fontId="5" fillId="0" borderId="1" xfId="1" applyFont="1" applyBorder="1" applyAlignment="1">
      <alignment horizontal="right" vertical="justify"/>
    </xf>
    <xf numFmtId="0" fontId="5" fillId="3" borderId="1" xfId="1" applyFont="1" applyFill="1" applyBorder="1" applyAlignment="1">
      <alignment horizontal="right" vertical="justify"/>
    </xf>
    <xf numFmtId="0" fontId="2" fillId="0" borderId="1" xfId="1" applyFont="1" applyBorder="1" applyAlignment="1">
      <alignment horizontal="right" vertical="justify"/>
    </xf>
    <xf numFmtId="4" fontId="4" fillId="0" borderId="1" xfId="0" applyNumberFormat="1" applyFont="1" applyBorder="1" applyAlignment="1">
      <alignment horizontal="left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wrapText="1"/>
    </xf>
    <xf numFmtId="2" fontId="5" fillId="3" borderId="1" xfId="1" applyNumberFormat="1" applyFont="1" applyFill="1" applyBorder="1" applyAlignment="1">
      <alignment horizontal="right" vertical="justify"/>
    </xf>
    <xf numFmtId="0" fontId="5" fillId="3" borderId="1" xfId="1" applyFont="1" applyFill="1" applyBorder="1" applyAlignment="1">
      <alignment horizontal="left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left" wrapText="1"/>
    </xf>
    <xf numFmtId="4" fontId="5" fillId="0" borderId="1" xfId="1" applyNumberFormat="1" applyFont="1" applyBorder="1" applyAlignment="1">
      <alignment horizontal="right" vertical="justify" wrapText="1"/>
    </xf>
    <xf numFmtId="165" fontId="5" fillId="0" borderId="1" xfId="2" applyNumberFormat="1" applyFont="1" applyBorder="1" applyAlignment="1">
      <alignment horizontal="right" vertical="justify" wrapText="1"/>
    </xf>
    <xf numFmtId="165" fontId="5" fillId="0" borderId="1" xfId="1" applyNumberFormat="1" applyFont="1" applyBorder="1" applyAlignment="1">
      <alignment horizontal="right" vertical="justify" wrapText="1"/>
    </xf>
    <xf numFmtId="4" fontId="5" fillId="3" borderId="1" xfId="1" applyNumberFormat="1" applyFont="1" applyFill="1" applyBorder="1" applyAlignment="1">
      <alignment horizontal="left" vertical="justify" wrapText="1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right"/>
    </xf>
    <xf numFmtId="0" fontId="2" fillId="3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1" xfId="1" applyFont="1" applyBorder="1" applyAlignment="1">
      <alignment horizontal="center" vertical="justify" wrapText="1"/>
    </xf>
    <xf numFmtId="0" fontId="2" fillId="0" borderId="1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3">
    <cellStyle name="Звичайний" xfId="0" builtinId="0"/>
    <cellStyle name="Обычный 2" xfId="1"/>
    <cellStyle name="Фінансови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44"/>
  <sheetViews>
    <sheetView tabSelected="1" topLeftCell="A16" zoomScale="75" zoomScaleNormal="75" workbookViewId="0">
      <selection activeCell="Q25" sqref="Q25"/>
    </sheetView>
  </sheetViews>
  <sheetFormatPr defaultColWidth="9.140625" defaultRowHeight="18.75" x14ac:dyDescent="0.3"/>
  <cols>
    <col min="1" max="1" width="5.42578125" style="1" customWidth="1"/>
    <col min="2" max="2" width="33.28515625" style="1" customWidth="1"/>
    <col min="3" max="3" width="9.140625" style="1" customWidth="1"/>
    <col min="4" max="4" width="8.42578125" style="1" customWidth="1"/>
    <col min="5" max="5" width="15.7109375" style="1" customWidth="1"/>
    <col min="6" max="6" width="6" style="1" customWidth="1"/>
    <col min="7" max="7" width="13.28515625" style="1" customWidth="1"/>
    <col min="8" max="8" width="13.42578125" style="1" customWidth="1"/>
    <col min="9" max="9" width="5.7109375" style="1" customWidth="1"/>
    <col min="10" max="10" width="14.140625" style="1" customWidth="1"/>
    <col min="11" max="11" width="6" style="1" customWidth="1"/>
    <col min="12" max="12" width="16.140625" style="1" customWidth="1"/>
    <col min="13" max="13" width="8.7109375" style="1" customWidth="1"/>
    <col min="14" max="14" width="14" style="1" customWidth="1"/>
    <col min="15" max="15" width="7.7109375" style="1" customWidth="1"/>
    <col min="16" max="16" width="13" style="1" customWidth="1"/>
    <col min="17" max="17" width="17" style="1" customWidth="1"/>
    <col min="18" max="18" width="12.85546875" style="1" customWidth="1"/>
    <col min="19" max="19" width="14.5703125" style="1" customWidth="1"/>
    <col min="20" max="20" width="18.42578125" style="1" customWidth="1"/>
    <col min="21" max="21" width="19.140625" style="1" customWidth="1"/>
    <col min="22" max="22" width="23.85546875" style="1" customWidth="1"/>
    <col min="23" max="16384" width="9.140625" style="1"/>
  </cols>
  <sheetData>
    <row r="2" spans="1:22" x14ac:dyDescent="0.3">
      <c r="P2" s="1" t="s">
        <v>38</v>
      </c>
    </row>
    <row r="3" spans="1:22" x14ac:dyDescent="0.3">
      <c r="A3" s="58" t="s">
        <v>13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7"/>
    </row>
    <row r="4" spans="1:22" x14ac:dyDescent="0.3">
      <c r="A4" s="58" t="s">
        <v>55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7"/>
    </row>
    <row r="5" spans="1:22" ht="18.75" hidden="1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8"/>
      <c r="O5" s="53"/>
    </row>
    <row r="6" spans="1:22" ht="18.75" hidden="1" customHeight="1" x14ac:dyDescent="0.3">
      <c r="A6" s="2"/>
      <c r="B6" s="2"/>
      <c r="C6" s="2"/>
      <c r="D6" s="2"/>
      <c r="E6" s="2"/>
      <c r="F6" s="2"/>
      <c r="G6" s="2"/>
      <c r="H6" s="2"/>
      <c r="I6" s="59"/>
      <c r="J6" s="59"/>
      <c r="K6" s="59"/>
      <c r="L6" s="59"/>
      <c r="M6" s="59"/>
      <c r="N6" s="59"/>
      <c r="O6" s="53"/>
    </row>
    <row r="7" spans="1:22" x14ac:dyDescent="0.3">
      <c r="N7" s="3"/>
      <c r="O7" s="3"/>
      <c r="P7" s="3"/>
      <c r="Q7" s="60"/>
      <c r="R7" s="60"/>
      <c r="S7" s="60"/>
      <c r="T7" s="60"/>
      <c r="U7" s="60"/>
      <c r="V7" s="9"/>
    </row>
    <row r="8" spans="1:22" ht="38.25" customHeight="1" x14ac:dyDescent="0.3">
      <c r="A8" s="61" t="s">
        <v>0</v>
      </c>
      <c r="B8" s="56" t="s">
        <v>1</v>
      </c>
      <c r="C8" s="62" t="s">
        <v>10</v>
      </c>
      <c r="D8" s="62" t="s">
        <v>7</v>
      </c>
      <c r="E8" s="56" t="s">
        <v>4</v>
      </c>
      <c r="F8" s="56" t="s">
        <v>6</v>
      </c>
      <c r="G8" s="56"/>
      <c r="H8" s="56"/>
      <c r="I8" s="56"/>
      <c r="J8" s="56"/>
      <c r="K8" s="56" t="s">
        <v>51</v>
      </c>
      <c r="L8" s="56"/>
      <c r="M8" s="56" t="s">
        <v>58</v>
      </c>
      <c r="N8" s="56"/>
      <c r="O8" s="56" t="s">
        <v>59</v>
      </c>
      <c r="P8" s="56"/>
      <c r="Q8" s="64" t="s">
        <v>60</v>
      </c>
      <c r="R8" s="64" t="s">
        <v>61</v>
      </c>
      <c r="S8" s="64" t="s">
        <v>62</v>
      </c>
      <c r="T8" s="64" t="s">
        <v>63</v>
      </c>
      <c r="U8" s="57" t="s">
        <v>11</v>
      </c>
      <c r="V8" s="54" t="s">
        <v>24</v>
      </c>
    </row>
    <row r="9" spans="1:22" ht="90" customHeight="1" x14ac:dyDescent="0.3">
      <c r="A9" s="61"/>
      <c r="B9" s="56"/>
      <c r="C9" s="62"/>
      <c r="D9" s="62"/>
      <c r="E9" s="56"/>
      <c r="F9" s="63" t="s">
        <v>5</v>
      </c>
      <c r="G9" s="63"/>
      <c r="H9" s="40" t="s">
        <v>9</v>
      </c>
      <c r="I9" s="63" t="s">
        <v>2</v>
      </c>
      <c r="J9" s="63"/>
      <c r="K9" s="56"/>
      <c r="L9" s="56"/>
      <c r="M9" s="56"/>
      <c r="N9" s="56"/>
      <c r="O9" s="56"/>
      <c r="P9" s="56"/>
      <c r="Q9" s="65"/>
      <c r="R9" s="65"/>
      <c r="S9" s="65"/>
      <c r="T9" s="65"/>
      <c r="U9" s="57"/>
      <c r="V9" s="54"/>
    </row>
    <row r="10" spans="1:22" ht="19.5" customHeight="1" x14ac:dyDescent="0.3">
      <c r="A10" s="61"/>
      <c r="B10" s="56"/>
      <c r="C10" s="62"/>
      <c r="D10" s="62"/>
      <c r="E10" s="56"/>
      <c r="F10" s="26" t="s">
        <v>3</v>
      </c>
      <c r="G10" s="26" t="s">
        <v>8</v>
      </c>
      <c r="H10" s="26" t="s">
        <v>8</v>
      </c>
      <c r="I10" s="26" t="s">
        <v>3</v>
      </c>
      <c r="J10" s="26" t="s">
        <v>8</v>
      </c>
      <c r="K10" s="26" t="s">
        <v>3</v>
      </c>
      <c r="L10" s="26" t="s">
        <v>8</v>
      </c>
      <c r="M10" s="26" t="s">
        <v>3</v>
      </c>
      <c r="N10" s="26" t="s">
        <v>8</v>
      </c>
      <c r="O10" s="26" t="s">
        <v>3</v>
      </c>
      <c r="P10" s="26" t="s">
        <v>8</v>
      </c>
      <c r="Q10" s="26"/>
      <c r="R10" s="26"/>
      <c r="S10" s="26"/>
      <c r="T10" s="26"/>
      <c r="U10" s="57"/>
      <c r="V10" s="54"/>
    </row>
    <row r="11" spans="1:22" ht="26.25" customHeight="1" x14ac:dyDescent="0.3">
      <c r="A11" s="19"/>
      <c r="B11" s="27" t="s">
        <v>49</v>
      </c>
      <c r="C11" s="39"/>
      <c r="D11" s="39"/>
      <c r="E11" s="38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42"/>
      <c r="V11" s="41"/>
    </row>
    <row r="12" spans="1:22" x14ac:dyDescent="0.3">
      <c r="A12" s="19">
        <v>1</v>
      </c>
      <c r="B12" s="5" t="s">
        <v>20</v>
      </c>
      <c r="C12" s="20">
        <v>1</v>
      </c>
      <c r="D12" s="20">
        <v>1</v>
      </c>
      <c r="E12" s="28">
        <v>19500</v>
      </c>
      <c r="F12" s="29"/>
      <c r="G12" s="28"/>
      <c r="H12" s="28"/>
      <c r="I12" s="29">
        <v>50</v>
      </c>
      <c r="J12" s="28">
        <f>I12*E12/100</f>
        <v>9750</v>
      </c>
      <c r="K12" s="29">
        <v>0</v>
      </c>
      <c r="L12" s="28">
        <f>E12*K12/100</f>
        <v>0</v>
      </c>
      <c r="M12" s="29">
        <v>0</v>
      </c>
      <c r="N12" s="28">
        <f>G12*M12/100</f>
        <v>0</v>
      </c>
      <c r="O12" s="29">
        <v>0</v>
      </c>
      <c r="P12" s="28">
        <f>I12*O12/100</f>
        <v>0</v>
      </c>
      <c r="Q12" s="28">
        <f>E12+J12+L12+N12+P12</f>
        <v>29250</v>
      </c>
      <c r="R12" s="28"/>
      <c r="S12" s="28"/>
      <c r="T12" s="28">
        <f>Q12*10+E12+E12</f>
        <v>331500</v>
      </c>
      <c r="U12" s="30">
        <f>T12*22/100</f>
        <v>72930</v>
      </c>
      <c r="V12" s="6" t="s">
        <v>33</v>
      </c>
    </row>
    <row r="13" spans="1:22" ht="37.5" x14ac:dyDescent="0.3">
      <c r="A13" s="19">
        <v>2</v>
      </c>
      <c r="B13" s="5" t="s">
        <v>57</v>
      </c>
      <c r="C13" s="20">
        <v>1</v>
      </c>
      <c r="D13" s="20">
        <v>1</v>
      </c>
      <c r="E13" s="28">
        <v>10020</v>
      </c>
      <c r="F13" s="29"/>
      <c r="G13" s="28"/>
      <c r="H13" s="28"/>
      <c r="I13" s="29">
        <v>80</v>
      </c>
      <c r="J13" s="28">
        <f>I13*E13/100</f>
        <v>8016</v>
      </c>
      <c r="K13" s="29">
        <v>50</v>
      </c>
      <c r="L13" s="28">
        <f>K13*E13/100</f>
        <v>5010</v>
      </c>
      <c r="M13" s="29"/>
      <c r="N13" s="28">
        <f>M13*G13/100</f>
        <v>0</v>
      </c>
      <c r="O13" s="29"/>
      <c r="P13" s="28">
        <f>O13*I13/100</f>
        <v>0</v>
      </c>
      <c r="Q13" s="28">
        <f t="shared" ref="Q13:Q25" si="0">E13+J13+L13+N13+P13</f>
        <v>23046</v>
      </c>
      <c r="R13" s="28"/>
      <c r="S13" s="28"/>
      <c r="T13" s="28">
        <f t="shared" ref="T13:T25" si="1">Q13*10+E13+E13</f>
        <v>250500</v>
      </c>
      <c r="U13" s="30">
        <f>T13*22/100</f>
        <v>55110</v>
      </c>
      <c r="V13" s="18" t="s">
        <v>25</v>
      </c>
    </row>
    <row r="14" spans="1:22" x14ac:dyDescent="0.3">
      <c r="A14" s="19">
        <v>3</v>
      </c>
      <c r="B14" s="5" t="s">
        <v>37</v>
      </c>
      <c r="C14" s="20">
        <v>0.5</v>
      </c>
      <c r="D14" s="20">
        <v>0.5</v>
      </c>
      <c r="E14" s="28">
        <v>4792</v>
      </c>
      <c r="F14" s="29"/>
      <c r="G14" s="28"/>
      <c r="H14" s="28"/>
      <c r="I14" s="29">
        <v>91</v>
      </c>
      <c r="J14" s="28">
        <f>I14*E14/100+0.28</f>
        <v>4361</v>
      </c>
      <c r="K14" s="29">
        <v>50</v>
      </c>
      <c r="L14" s="28">
        <f>K14*E14/100</f>
        <v>2396</v>
      </c>
      <c r="M14" s="29"/>
      <c r="N14" s="28">
        <f>M14*G14/100</f>
        <v>0</v>
      </c>
      <c r="O14" s="29"/>
      <c r="P14" s="28">
        <f>O14*I14/100</f>
        <v>0</v>
      </c>
      <c r="Q14" s="28">
        <f t="shared" si="0"/>
        <v>11549</v>
      </c>
      <c r="R14" s="28"/>
      <c r="S14" s="28"/>
      <c r="T14" s="28">
        <f t="shared" si="1"/>
        <v>125074</v>
      </c>
      <c r="U14" s="30">
        <f>T14*22/100-0.28</f>
        <v>27516</v>
      </c>
      <c r="V14" s="6" t="s">
        <v>27</v>
      </c>
    </row>
    <row r="15" spans="1:22" x14ac:dyDescent="0.3">
      <c r="A15" s="19">
        <v>4</v>
      </c>
      <c r="B15" s="5" t="s">
        <v>19</v>
      </c>
      <c r="C15" s="20">
        <v>1</v>
      </c>
      <c r="D15" s="20">
        <v>1</v>
      </c>
      <c r="E15" s="28">
        <v>7200</v>
      </c>
      <c r="F15" s="29"/>
      <c r="G15" s="28"/>
      <c r="H15" s="28"/>
      <c r="I15" s="29">
        <v>40</v>
      </c>
      <c r="J15" s="28">
        <f>E15*I15/100</f>
        <v>2880</v>
      </c>
      <c r="K15" s="29">
        <v>50</v>
      </c>
      <c r="L15" s="28">
        <f>K15*E15/100</f>
        <v>3600</v>
      </c>
      <c r="M15" s="29"/>
      <c r="N15" s="28">
        <f>M15*G15/100</f>
        <v>0</v>
      </c>
      <c r="O15" s="29"/>
      <c r="P15" s="28">
        <f>O15*I15/100</f>
        <v>0</v>
      </c>
      <c r="Q15" s="28">
        <f t="shared" si="0"/>
        <v>13680</v>
      </c>
      <c r="R15" s="28"/>
      <c r="S15" s="28"/>
      <c r="T15" s="28">
        <f t="shared" si="1"/>
        <v>151200</v>
      </c>
      <c r="U15" s="30">
        <f>T15*22/100</f>
        <v>33264</v>
      </c>
      <c r="V15" s="6" t="s">
        <v>26</v>
      </c>
    </row>
    <row r="16" spans="1:22" ht="40.5" customHeight="1" x14ac:dyDescent="0.3">
      <c r="A16" s="19">
        <v>5</v>
      </c>
      <c r="B16" s="5" t="s">
        <v>16</v>
      </c>
      <c r="C16" s="20">
        <v>0.5</v>
      </c>
      <c r="D16" s="20">
        <v>0</v>
      </c>
      <c r="E16" s="31"/>
      <c r="F16" s="32"/>
      <c r="G16" s="31"/>
      <c r="H16" s="31"/>
      <c r="I16" s="32"/>
      <c r="J16" s="31"/>
      <c r="K16" s="32"/>
      <c r="L16" s="31"/>
      <c r="M16" s="32"/>
      <c r="N16" s="31"/>
      <c r="O16" s="32"/>
      <c r="P16" s="31"/>
      <c r="Q16" s="28">
        <f t="shared" si="0"/>
        <v>0</v>
      </c>
      <c r="R16" s="31"/>
      <c r="S16" s="31"/>
      <c r="T16" s="28">
        <f t="shared" si="1"/>
        <v>0</v>
      </c>
      <c r="U16" s="30">
        <f t="shared" ref="U16:U25" si="2">T16*22/100</f>
        <v>0</v>
      </c>
      <c r="V16" s="18" t="s">
        <v>40</v>
      </c>
    </row>
    <row r="17" spans="1:22" ht="27.75" customHeight="1" x14ac:dyDescent="0.3">
      <c r="A17" s="19">
        <v>6</v>
      </c>
      <c r="B17" s="5" t="s">
        <v>46</v>
      </c>
      <c r="C17" s="20">
        <v>1</v>
      </c>
      <c r="D17" s="20">
        <v>1</v>
      </c>
      <c r="E17" s="31">
        <v>7140</v>
      </c>
      <c r="F17" s="32"/>
      <c r="G17" s="31">
        <f>F17*E17/100</f>
        <v>0</v>
      </c>
      <c r="H17" s="31"/>
      <c r="I17" s="32">
        <v>40</v>
      </c>
      <c r="J17" s="31">
        <f t="shared" ref="J17:J24" si="3">E17*I17/100</f>
        <v>2856</v>
      </c>
      <c r="K17" s="32">
        <v>50</v>
      </c>
      <c r="L17" s="31">
        <f>K17*E17/100</f>
        <v>3570</v>
      </c>
      <c r="M17" s="32"/>
      <c r="N17" s="31">
        <f>M17*G17/100</f>
        <v>0</v>
      </c>
      <c r="O17" s="32"/>
      <c r="P17" s="31">
        <f>O17*I17/100</f>
        <v>0</v>
      </c>
      <c r="Q17" s="28">
        <f t="shared" si="0"/>
        <v>13566</v>
      </c>
      <c r="R17" s="31"/>
      <c r="S17" s="31"/>
      <c r="T17" s="28">
        <f t="shared" si="1"/>
        <v>149940</v>
      </c>
      <c r="U17" s="30">
        <f>T17*22/100+0.2</f>
        <v>32987</v>
      </c>
      <c r="V17" s="18" t="s">
        <v>45</v>
      </c>
    </row>
    <row r="18" spans="1:22" x14ac:dyDescent="0.3">
      <c r="A18" s="19">
        <v>7</v>
      </c>
      <c r="B18" s="5" t="s">
        <v>32</v>
      </c>
      <c r="C18" s="20">
        <v>1</v>
      </c>
      <c r="D18" s="20">
        <v>1</v>
      </c>
      <c r="E18" s="28">
        <v>7140</v>
      </c>
      <c r="F18" s="29"/>
      <c r="G18" s="28"/>
      <c r="H18" s="28"/>
      <c r="I18" s="29">
        <v>40</v>
      </c>
      <c r="J18" s="28">
        <f>E18*I18/100</f>
        <v>2856</v>
      </c>
      <c r="K18" s="29">
        <v>50</v>
      </c>
      <c r="L18" s="28">
        <f>K18*E18/100</f>
        <v>3570</v>
      </c>
      <c r="M18" s="29"/>
      <c r="N18" s="28">
        <f>M18*G18/100</f>
        <v>0</v>
      </c>
      <c r="O18" s="29"/>
      <c r="P18" s="28">
        <f>O18*I18/100</f>
        <v>0</v>
      </c>
      <c r="Q18" s="28">
        <f t="shared" si="0"/>
        <v>13566</v>
      </c>
      <c r="R18" s="28"/>
      <c r="S18" s="28"/>
      <c r="T18" s="28">
        <f t="shared" si="1"/>
        <v>149940</v>
      </c>
      <c r="U18" s="30">
        <f>T18*22/100+0.2</f>
        <v>32987</v>
      </c>
      <c r="V18" s="6" t="s">
        <v>28</v>
      </c>
    </row>
    <row r="19" spans="1:22" x14ac:dyDescent="0.3">
      <c r="A19" s="19">
        <v>8</v>
      </c>
      <c r="B19" s="5" t="s">
        <v>15</v>
      </c>
      <c r="C19" s="20">
        <v>1</v>
      </c>
      <c r="D19" s="20">
        <v>1</v>
      </c>
      <c r="E19" s="28">
        <v>6500</v>
      </c>
      <c r="F19" s="29">
        <v>10</v>
      </c>
      <c r="G19" s="28">
        <f>F19*E19/100</f>
        <v>650</v>
      </c>
      <c r="H19" s="28"/>
      <c r="I19" s="29">
        <v>20</v>
      </c>
      <c r="J19" s="28">
        <f t="shared" si="3"/>
        <v>1300</v>
      </c>
      <c r="K19" s="29">
        <v>30</v>
      </c>
      <c r="L19" s="28">
        <f>E19*K19/100</f>
        <v>1950</v>
      </c>
      <c r="M19" s="29"/>
      <c r="N19" s="28">
        <f>G19*M19/100</f>
        <v>0</v>
      </c>
      <c r="O19" s="29"/>
      <c r="P19" s="28">
        <f>I19*O19/100</f>
        <v>0</v>
      </c>
      <c r="Q19" s="28">
        <f>E19+J19+L19+N19+P19+G19</f>
        <v>10400</v>
      </c>
      <c r="R19" s="28"/>
      <c r="S19" s="28"/>
      <c r="T19" s="28">
        <f>Q19*10+E19+E19+G19+G19</f>
        <v>118300</v>
      </c>
      <c r="U19" s="30">
        <f t="shared" si="2"/>
        <v>26026</v>
      </c>
      <c r="V19" s="6" t="s">
        <v>29</v>
      </c>
    </row>
    <row r="20" spans="1:22" x14ac:dyDescent="0.3">
      <c r="A20" s="19">
        <v>9</v>
      </c>
      <c r="B20" s="5" t="s">
        <v>17</v>
      </c>
      <c r="C20" s="20">
        <v>1</v>
      </c>
      <c r="D20" s="20">
        <v>1</v>
      </c>
      <c r="E20" s="28">
        <v>6000</v>
      </c>
      <c r="F20" s="29"/>
      <c r="G20" s="28"/>
      <c r="H20" s="28"/>
      <c r="I20" s="29">
        <v>30</v>
      </c>
      <c r="J20" s="28">
        <f t="shared" si="3"/>
        <v>1800</v>
      </c>
      <c r="K20" s="29">
        <v>30</v>
      </c>
      <c r="L20" s="28">
        <f>K20*E20/100</f>
        <v>1800</v>
      </c>
      <c r="M20" s="29"/>
      <c r="N20" s="28">
        <f>M20*G20/100</f>
        <v>0</v>
      </c>
      <c r="O20" s="29"/>
      <c r="P20" s="28">
        <f>O20*I20/100</f>
        <v>0</v>
      </c>
      <c r="Q20" s="28">
        <f t="shared" si="0"/>
        <v>9600</v>
      </c>
      <c r="R20" s="28"/>
      <c r="S20" s="28"/>
      <c r="T20" s="28">
        <f t="shared" si="1"/>
        <v>108000</v>
      </c>
      <c r="U20" s="30">
        <f t="shared" si="2"/>
        <v>23760</v>
      </c>
      <c r="V20" s="6" t="s">
        <v>30</v>
      </c>
    </row>
    <row r="21" spans="1:22" x14ac:dyDescent="0.3">
      <c r="A21" s="19">
        <v>10</v>
      </c>
      <c r="B21" s="5" t="s">
        <v>39</v>
      </c>
      <c r="C21" s="20">
        <v>0.5</v>
      </c>
      <c r="D21" s="20">
        <v>0</v>
      </c>
      <c r="E21" s="28"/>
      <c r="F21" s="29"/>
      <c r="G21" s="28"/>
      <c r="H21" s="28"/>
      <c r="I21" s="29"/>
      <c r="J21" s="28"/>
      <c r="K21" s="29"/>
      <c r="L21" s="28"/>
      <c r="M21" s="29"/>
      <c r="N21" s="28"/>
      <c r="O21" s="29"/>
      <c r="P21" s="28"/>
      <c r="Q21" s="28">
        <f t="shared" si="0"/>
        <v>0</v>
      </c>
      <c r="R21" s="28"/>
      <c r="S21" s="28"/>
      <c r="T21" s="28">
        <f t="shared" si="1"/>
        <v>0</v>
      </c>
      <c r="U21" s="30">
        <f t="shared" si="2"/>
        <v>0</v>
      </c>
      <c r="V21" s="6" t="s">
        <v>40</v>
      </c>
    </row>
    <row r="22" spans="1:22" ht="54" customHeight="1" x14ac:dyDescent="0.3">
      <c r="A22" s="19">
        <v>11</v>
      </c>
      <c r="B22" s="46" t="s">
        <v>23</v>
      </c>
      <c r="C22" s="20">
        <v>0.5</v>
      </c>
      <c r="D22" s="20">
        <v>0</v>
      </c>
      <c r="E22" s="31"/>
      <c r="F22" s="32"/>
      <c r="G22" s="31"/>
      <c r="H22" s="31"/>
      <c r="I22" s="32"/>
      <c r="J22" s="31"/>
      <c r="K22" s="32"/>
      <c r="L22" s="31"/>
      <c r="M22" s="32"/>
      <c r="N22" s="31"/>
      <c r="O22" s="32"/>
      <c r="P22" s="31"/>
      <c r="Q22" s="28">
        <f t="shared" si="0"/>
        <v>0</v>
      </c>
      <c r="R22" s="31"/>
      <c r="S22" s="31"/>
      <c r="T22" s="28">
        <f t="shared" si="1"/>
        <v>0</v>
      </c>
      <c r="U22" s="30">
        <f t="shared" si="2"/>
        <v>0</v>
      </c>
      <c r="V22" s="18" t="s">
        <v>40</v>
      </c>
    </row>
    <row r="23" spans="1:22" x14ac:dyDescent="0.3">
      <c r="A23" s="19">
        <v>12</v>
      </c>
      <c r="B23" s="12" t="s">
        <v>18</v>
      </c>
      <c r="C23" s="20">
        <v>1</v>
      </c>
      <c r="D23" s="20">
        <v>1</v>
      </c>
      <c r="E23" s="28">
        <v>9060</v>
      </c>
      <c r="F23" s="29"/>
      <c r="G23" s="28"/>
      <c r="H23" s="28"/>
      <c r="I23" s="29">
        <v>95</v>
      </c>
      <c r="J23" s="28">
        <f t="shared" si="3"/>
        <v>8607</v>
      </c>
      <c r="K23" s="29">
        <v>50</v>
      </c>
      <c r="L23" s="28">
        <f>E23*K23/100</f>
        <v>4530</v>
      </c>
      <c r="M23" s="29">
        <v>0</v>
      </c>
      <c r="N23" s="28">
        <f>G23*M23/100</f>
        <v>0</v>
      </c>
      <c r="O23" s="29">
        <v>0</v>
      </c>
      <c r="P23" s="28">
        <f>I23*O23/100</f>
        <v>0</v>
      </c>
      <c r="Q23" s="28">
        <f t="shared" si="0"/>
        <v>22197</v>
      </c>
      <c r="R23" s="28"/>
      <c r="S23" s="28"/>
      <c r="T23" s="28">
        <f t="shared" si="1"/>
        <v>240090</v>
      </c>
      <c r="U23" s="30">
        <f>T23*22/100+0.2</f>
        <v>52820</v>
      </c>
      <c r="V23" s="6" t="s">
        <v>31</v>
      </c>
    </row>
    <row r="24" spans="1:22" ht="56.25" x14ac:dyDescent="0.3">
      <c r="A24" s="19">
        <v>13</v>
      </c>
      <c r="B24" s="47" t="s">
        <v>47</v>
      </c>
      <c r="C24" s="20">
        <v>1</v>
      </c>
      <c r="D24" s="20">
        <v>1</v>
      </c>
      <c r="E24" s="31">
        <v>7523</v>
      </c>
      <c r="F24" s="32"/>
      <c r="G24" s="31"/>
      <c r="H24" s="31"/>
      <c r="I24" s="32">
        <v>133</v>
      </c>
      <c r="J24" s="28">
        <f>E24*I24/100+0.41</f>
        <v>10006</v>
      </c>
      <c r="K24" s="32">
        <v>0</v>
      </c>
      <c r="L24" s="28">
        <v>0</v>
      </c>
      <c r="M24" s="32">
        <v>50</v>
      </c>
      <c r="N24" s="28">
        <f>M24*E24/100</f>
        <v>3761.5</v>
      </c>
      <c r="O24" s="32">
        <v>50</v>
      </c>
      <c r="P24" s="28">
        <f>O24*E24/100</f>
        <v>3761.5</v>
      </c>
      <c r="Q24" s="28">
        <f>E24+J24+L24+N24+P24</f>
        <v>25052</v>
      </c>
      <c r="R24" s="28">
        <v>7523</v>
      </c>
      <c r="S24" s="28">
        <v>7523</v>
      </c>
      <c r="T24" s="28">
        <f>Q24*12+R24+S24</f>
        <v>315670</v>
      </c>
      <c r="U24" s="30">
        <f>T24*22/100+0.6</f>
        <v>69448</v>
      </c>
      <c r="V24" s="18" t="s">
        <v>56</v>
      </c>
    </row>
    <row r="25" spans="1:22" x14ac:dyDescent="0.3">
      <c r="A25" s="19">
        <v>14</v>
      </c>
      <c r="B25" s="12" t="s">
        <v>44</v>
      </c>
      <c r="C25" s="21">
        <v>0.25</v>
      </c>
      <c r="D25" s="21">
        <v>0</v>
      </c>
      <c r="E25" s="28">
        <v>0</v>
      </c>
      <c r="F25" s="29"/>
      <c r="G25" s="28"/>
      <c r="H25" s="28"/>
      <c r="I25" s="29"/>
      <c r="J25" s="28"/>
      <c r="K25" s="29"/>
      <c r="L25" s="28"/>
      <c r="M25" s="29"/>
      <c r="N25" s="28"/>
      <c r="O25" s="29"/>
      <c r="P25" s="28"/>
      <c r="Q25" s="28">
        <f t="shared" si="0"/>
        <v>0</v>
      </c>
      <c r="R25" s="28"/>
      <c r="S25" s="28"/>
      <c r="T25" s="28">
        <f t="shared" si="1"/>
        <v>0</v>
      </c>
      <c r="U25" s="30">
        <f t="shared" si="2"/>
        <v>0</v>
      </c>
      <c r="V25" s="6" t="s">
        <v>40</v>
      </c>
    </row>
    <row r="26" spans="1:22" ht="37.5" x14ac:dyDescent="0.3">
      <c r="A26" s="19"/>
      <c r="B26" s="22" t="s">
        <v>52</v>
      </c>
      <c r="C26" s="23">
        <f>SUM(C12:C25)</f>
        <v>11.25</v>
      </c>
      <c r="D26" s="23">
        <f t="shared" ref="D26:H26" si="4">SUM(D12:D25)</f>
        <v>9.5</v>
      </c>
      <c r="E26" s="48">
        <f>SUM(E12:E25)</f>
        <v>84875</v>
      </c>
      <c r="F26" s="48"/>
      <c r="G26" s="48">
        <f t="shared" si="4"/>
        <v>650</v>
      </c>
      <c r="H26" s="48">
        <f t="shared" si="4"/>
        <v>0</v>
      </c>
      <c r="I26" s="48"/>
      <c r="J26" s="48">
        <f>SUM(J12:J25)</f>
        <v>52432</v>
      </c>
      <c r="K26" s="48">
        <v>0</v>
      </c>
      <c r="L26" s="48">
        <f>SUM(L12:L25)</f>
        <v>26426</v>
      </c>
      <c r="M26" s="48"/>
      <c r="N26" s="48">
        <f>SUM(N12:N25)</f>
        <v>3761.5</v>
      </c>
      <c r="O26" s="48"/>
      <c r="P26" s="48">
        <f>SUM(P12:P25)</f>
        <v>3761.5</v>
      </c>
      <c r="Q26" s="28">
        <f>E26+J26+L26+N26+P26+0.41</f>
        <v>171256.41</v>
      </c>
      <c r="R26" s="48">
        <v>7523</v>
      </c>
      <c r="S26" s="48">
        <v>7523</v>
      </c>
      <c r="T26" s="28">
        <f>SUM(T12:T25)</f>
        <v>1940214</v>
      </c>
      <c r="U26" s="48">
        <f>SUM(U12:U25)</f>
        <v>426848</v>
      </c>
      <c r="V26" s="23"/>
    </row>
    <row r="27" spans="1:22" x14ac:dyDescent="0.3">
      <c r="A27" s="19"/>
      <c r="B27" s="22" t="s">
        <v>48</v>
      </c>
      <c r="C27" s="21"/>
      <c r="D27" s="21"/>
      <c r="E27" s="28"/>
      <c r="F27" s="29"/>
      <c r="G27" s="28"/>
      <c r="H27" s="28"/>
      <c r="I27" s="29"/>
      <c r="J27" s="28"/>
      <c r="K27" s="29"/>
      <c r="L27" s="28"/>
      <c r="M27" s="29"/>
      <c r="N27" s="28"/>
      <c r="O27" s="29"/>
      <c r="P27" s="28"/>
      <c r="Q27" s="28"/>
      <c r="R27" s="28"/>
      <c r="S27" s="28"/>
      <c r="T27" s="28">
        <f>Q27*11+E27</f>
        <v>0</v>
      </c>
      <c r="U27" s="30"/>
      <c r="V27" s="6"/>
    </row>
    <row r="28" spans="1:22" x14ac:dyDescent="0.3">
      <c r="A28" s="19">
        <v>1</v>
      </c>
      <c r="B28" s="5" t="s">
        <v>36</v>
      </c>
      <c r="C28" s="20">
        <v>1</v>
      </c>
      <c r="D28" s="20">
        <v>1</v>
      </c>
      <c r="E28" s="28">
        <v>7140</v>
      </c>
      <c r="F28" s="29"/>
      <c r="G28" s="28"/>
      <c r="H28" s="28"/>
      <c r="I28" s="29">
        <v>40</v>
      </c>
      <c r="J28" s="28">
        <f>E28*I28/100</f>
        <v>2856</v>
      </c>
      <c r="K28" s="29">
        <v>50</v>
      </c>
      <c r="L28" s="28">
        <f>K28*E28/100</f>
        <v>3570</v>
      </c>
      <c r="M28" s="29"/>
      <c r="N28" s="28">
        <f>M28*G28/100</f>
        <v>0</v>
      </c>
      <c r="O28" s="29"/>
      <c r="P28" s="28">
        <f>O28*I28/100</f>
        <v>0</v>
      </c>
      <c r="Q28" s="28">
        <f>E28+J28+L28+N28+P28</f>
        <v>13566</v>
      </c>
      <c r="R28" s="28"/>
      <c r="S28" s="28"/>
      <c r="T28" s="28">
        <f>Q28*10+E28+E28</f>
        <v>149940</v>
      </c>
      <c r="U28" s="30">
        <f>T28*22/100+0.2</f>
        <v>32987</v>
      </c>
      <c r="V28" s="6" t="s">
        <v>21</v>
      </c>
    </row>
    <row r="29" spans="1:22" x14ac:dyDescent="0.3">
      <c r="A29" s="19">
        <v>2</v>
      </c>
      <c r="B29" s="5" t="s">
        <v>15</v>
      </c>
      <c r="C29" s="20">
        <v>0.5</v>
      </c>
      <c r="D29" s="20">
        <v>0.5</v>
      </c>
      <c r="E29" s="28">
        <v>3000</v>
      </c>
      <c r="F29" s="29">
        <v>10</v>
      </c>
      <c r="G29" s="28">
        <f>F29*E29/100</f>
        <v>300</v>
      </c>
      <c r="H29" s="28"/>
      <c r="I29" s="29">
        <v>30</v>
      </c>
      <c r="J29" s="28">
        <f t="shared" ref="J29" si="5">E29*I29/100</f>
        <v>900</v>
      </c>
      <c r="K29" s="29">
        <v>30</v>
      </c>
      <c r="L29" s="28">
        <f>E29*K29/100</f>
        <v>900</v>
      </c>
      <c r="M29" s="29"/>
      <c r="N29" s="28">
        <f>G29*M29/100</f>
        <v>0</v>
      </c>
      <c r="O29" s="29"/>
      <c r="P29" s="28">
        <f>I29*O29/100</f>
        <v>0</v>
      </c>
      <c r="Q29" s="28">
        <f>E29+J29+L29+N29+P29+G29</f>
        <v>5100</v>
      </c>
      <c r="R29" s="28"/>
      <c r="S29" s="28"/>
      <c r="T29" s="28">
        <f>Q29*10+E29+E29+G29+G29</f>
        <v>57600</v>
      </c>
      <c r="U29" s="30">
        <f>T29*22/100</f>
        <v>12672</v>
      </c>
      <c r="V29" s="6" t="s">
        <v>22</v>
      </c>
    </row>
    <row r="30" spans="1:22" ht="37.5" x14ac:dyDescent="0.3">
      <c r="A30" s="19"/>
      <c r="B30" s="24" t="s">
        <v>53</v>
      </c>
      <c r="C30" s="25">
        <f>C28+C29</f>
        <v>1.5</v>
      </c>
      <c r="D30" s="25">
        <f t="shared" ref="D30:U30" si="6">D28+D29</f>
        <v>1.5</v>
      </c>
      <c r="E30" s="49">
        <f t="shared" si="6"/>
        <v>10140</v>
      </c>
      <c r="F30" s="50"/>
      <c r="G30" s="50">
        <f t="shared" si="6"/>
        <v>300</v>
      </c>
      <c r="H30" s="50">
        <f t="shared" si="6"/>
        <v>0</v>
      </c>
      <c r="I30" s="50"/>
      <c r="J30" s="50">
        <f t="shared" si="6"/>
        <v>3756</v>
      </c>
      <c r="K30" s="50"/>
      <c r="L30" s="50">
        <f t="shared" si="6"/>
        <v>4470</v>
      </c>
      <c r="M30" s="50"/>
      <c r="N30" s="50">
        <f t="shared" ref="N30" si="7">N28+N29</f>
        <v>0</v>
      </c>
      <c r="O30" s="50"/>
      <c r="P30" s="50">
        <f t="shared" ref="P30" si="8">P28+P29</f>
        <v>0</v>
      </c>
      <c r="Q30" s="28">
        <f>E30+J30+L30+N30+P30</f>
        <v>18366</v>
      </c>
      <c r="R30" s="50"/>
      <c r="S30" s="50"/>
      <c r="T30" s="28">
        <f>T28+T29</f>
        <v>207540</v>
      </c>
      <c r="U30" s="50">
        <f t="shared" si="6"/>
        <v>45659</v>
      </c>
      <c r="V30" s="25"/>
    </row>
    <row r="31" spans="1:22" x14ac:dyDescent="0.3">
      <c r="A31" s="34"/>
      <c r="B31" s="13" t="s">
        <v>54</v>
      </c>
      <c r="C31" s="23">
        <f>C26+C30</f>
        <v>12.75</v>
      </c>
      <c r="D31" s="23">
        <f t="shared" ref="D31:L31" si="9">D26+D30</f>
        <v>11</v>
      </c>
      <c r="E31" s="50">
        <f>E26+E30</f>
        <v>95015</v>
      </c>
      <c r="F31" s="50"/>
      <c r="G31" s="50">
        <f t="shared" si="9"/>
        <v>950</v>
      </c>
      <c r="H31" s="50">
        <f t="shared" si="9"/>
        <v>0</v>
      </c>
      <c r="I31" s="50"/>
      <c r="J31" s="50">
        <f>J26+J30</f>
        <v>56188</v>
      </c>
      <c r="K31" s="50"/>
      <c r="L31" s="50">
        <f t="shared" si="9"/>
        <v>30896</v>
      </c>
      <c r="M31" s="50"/>
      <c r="N31" s="50">
        <f t="shared" ref="N31" si="10">N26+N30</f>
        <v>3761.5</v>
      </c>
      <c r="O31" s="50"/>
      <c r="P31" s="50">
        <f t="shared" ref="P31" si="11">P26+P30</f>
        <v>3761.5</v>
      </c>
      <c r="Q31" s="28">
        <f>E31+J31+L31+N31+P31+G31+0.41</f>
        <v>190572.41</v>
      </c>
      <c r="R31" s="50">
        <v>7523</v>
      </c>
      <c r="S31" s="50">
        <v>7523</v>
      </c>
      <c r="T31" s="28">
        <f>T26+T30</f>
        <v>2147754</v>
      </c>
      <c r="U31" s="50">
        <f>U26+U30</f>
        <v>472507</v>
      </c>
      <c r="V31" s="23"/>
    </row>
    <row r="32" spans="1:22" x14ac:dyDescent="0.3">
      <c r="A32" s="35"/>
      <c r="B32" s="43" t="s">
        <v>42</v>
      </c>
      <c r="C32" s="44"/>
      <c r="D32" s="44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28"/>
      <c r="R32" s="33"/>
      <c r="S32" s="33"/>
      <c r="T32" s="28">
        <f>Q32*11+E32</f>
        <v>0</v>
      </c>
      <c r="U32" s="33"/>
      <c r="V32" s="17"/>
    </row>
    <row r="33" spans="1:22" ht="37.5" x14ac:dyDescent="0.3">
      <c r="A33" s="35"/>
      <c r="B33" s="45" t="s">
        <v>50</v>
      </c>
      <c r="C33" s="44"/>
      <c r="D33" s="44"/>
      <c r="E33" s="33">
        <f>E24</f>
        <v>7523</v>
      </c>
      <c r="F33" s="33"/>
      <c r="G33" s="33"/>
      <c r="H33" s="33"/>
      <c r="I33" s="33"/>
      <c r="J33" s="33">
        <f>J24</f>
        <v>10006</v>
      </c>
      <c r="K33" s="33">
        <v>0</v>
      </c>
      <c r="L33" s="33">
        <f>L24</f>
        <v>0</v>
      </c>
      <c r="M33" s="33">
        <v>0</v>
      </c>
      <c r="N33" s="33">
        <f>N24</f>
        <v>3761.5</v>
      </c>
      <c r="O33" s="33">
        <v>0</v>
      </c>
      <c r="P33" s="33">
        <f>P24</f>
        <v>3761.5</v>
      </c>
      <c r="Q33" s="28">
        <f>E33+J33+L33+N33+P33+0.41</f>
        <v>25052.41</v>
      </c>
      <c r="R33" s="33">
        <v>7523</v>
      </c>
      <c r="S33" s="33">
        <v>7523</v>
      </c>
      <c r="T33" s="28">
        <f>Q33*12+R33+S33</f>
        <v>315674.92</v>
      </c>
      <c r="U33" s="33">
        <f>T33*22/100+0.6</f>
        <v>69449.082399999999</v>
      </c>
      <c r="V33" s="51"/>
    </row>
    <row r="34" spans="1:22" x14ac:dyDescent="0.3">
      <c r="A34" s="35"/>
      <c r="B34" s="45" t="s">
        <v>41</v>
      </c>
      <c r="C34" s="44"/>
      <c r="D34" s="44"/>
      <c r="E34" s="33">
        <f>E31-E24</f>
        <v>87492</v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28">
        <f>E34+J34+L34+N34+P34</f>
        <v>87492</v>
      </c>
      <c r="R34" s="33"/>
      <c r="S34" s="33"/>
      <c r="T34" s="28">
        <f>Q34*11+E34</f>
        <v>1049904</v>
      </c>
      <c r="U34" s="33">
        <f>T34*22/100+0.12</f>
        <v>230979</v>
      </c>
      <c r="V34" s="17"/>
    </row>
    <row r="35" spans="1:22" x14ac:dyDescent="0.3">
      <c r="A35" s="35"/>
      <c r="B35" s="45" t="s">
        <v>43</v>
      </c>
      <c r="C35" s="44"/>
      <c r="D35" s="44"/>
      <c r="E35" s="33"/>
      <c r="F35" s="33"/>
      <c r="G35" s="33">
        <f>G31</f>
        <v>950</v>
      </c>
      <c r="H35" s="33"/>
      <c r="I35" s="33"/>
      <c r="J35" s="33">
        <f>J31*1-J33</f>
        <v>46182</v>
      </c>
      <c r="K35" s="33">
        <f t="shared" ref="K35" si="12">K31*1-K33</f>
        <v>0</v>
      </c>
      <c r="L35" s="33">
        <f>L31-L33</f>
        <v>30896</v>
      </c>
      <c r="M35" s="33">
        <f t="shared" ref="M35" si="13">M31*1-M33</f>
        <v>0</v>
      </c>
      <c r="N35" s="33">
        <f>N31-N33</f>
        <v>0</v>
      </c>
      <c r="O35" s="33">
        <f t="shared" ref="O35" si="14">O31*1-O33</f>
        <v>0</v>
      </c>
      <c r="P35" s="33">
        <f>P31-P33</f>
        <v>0</v>
      </c>
      <c r="Q35" s="28">
        <f>E35+J35+L35+N35+P35+G35</f>
        <v>78028</v>
      </c>
      <c r="R35" s="33"/>
      <c r="S35" s="33"/>
      <c r="T35" s="28">
        <f>Q35*10+E35+G35+G35</f>
        <v>782180</v>
      </c>
      <c r="U35" s="33">
        <f>T35*22/100+0.4</f>
        <v>172080</v>
      </c>
      <c r="V35" s="17"/>
    </row>
    <row r="36" spans="1:22" x14ac:dyDescent="0.3">
      <c r="A36" s="36"/>
      <c r="B36" s="13"/>
      <c r="C36" s="14"/>
      <c r="D36" s="14"/>
      <c r="E36" s="15"/>
      <c r="F36" s="15"/>
      <c r="G36" s="15">
        <f>G35*12</f>
        <v>11400</v>
      </c>
      <c r="H36" s="15"/>
      <c r="I36" s="15"/>
      <c r="J36" s="15">
        <f>J35*10</f>
        <v>461820</v>
      </c>
      <c r="K36" s="15"/>
      <c r="L36" s="37">
        <f>L35*10</f>
        <v>308960</v>
      </c>
      <c r="M36" s="15"/>
      <c r="N36" s="37">
        <f>N35*11</f>
        <v>0</v>
      </c>
      <c r="O36" s="15"/>
      <c r="P36" s="37">
        <f>P35*11</f>
        <v>0</v>
      </c>
      <c r="Q36" s="28">
        <f>E36+J36+L36+N36+P36+G36</f>
        <v>782180</v>
      </c>
      <c r="R36" s="37"/>
      <c r="S36" s="37"/>
      <c r="T36" s="28"/>
      <c r="U36" s="16"/>
      <c r="V36" s="16"/>
    </row>
    <row r="37" spans="1:22" ht="20.25" x14ac:dyDescent="0.3">
      <c r="E37" s="10" t="s">
        <v>35</v>
      </c>
      <c r="F37" s="11"/>
      <c r="G37" s="11"/>
      <c r="H37" s="11"/>
      <c r="I37" s="11"/>
      <c r="J37" s="11"/>
      <c r="K37" s="11"/>
      <c r="L37" s="55" t="s">
        <v>34</v>
      </c>
      <c r="M37" s="55"/>
      <c r="N37" s="55"/>
      <c r="O37" s="52"/>
    </row>
    <row r="38" spans="1:22" ht="20.25" x14ac:dyDescent="0.3">
      <c r="E38" s="10"/>
      <c r="F38" s="11"/>
      <c r="G38" s="11"/>
      <c r="H38" s="11"/>
      <c r="I38" s="11"/>
      <c r="J38" s="11"/>
      <c r="K38" s="11"/>
      <c r="L38" s="55"/>
      <c r="M38" s="55"/>
      <c r="N38" s="55"/>
      <c r="O38" s="52"/>
    </row>
    <row r="39" spans="1:22" ht="20.25" x14ac:dyDescent="0.3">
      <c r="E39" s="11" t="s">
        <v>12</v>
      </c>
      <c r="F39" s="11"/>
      <c r="G39" s="11"/>
      <c r="H39" s="11"/>
      <c r="I39" s="11"/>
      <c r="J39" s="11"/>
      <c r="K39" s="11"/>
      <c r="L39" s="11" t="s">
        <v>14</v>
      </c>
      <c r="M39" s="11"/>
      <c r="N39" s="11"/>
      <c r="O39" s="11"/>
      <c r="P39" s="4"/>
    </row>
    <row r="40" spans="1:22" ht="20.25" x14ac:dyDescent="0.3"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V40" s="4"/>
    </row>
    <row r="41" spans="1:22" x14ac:dyDescent="0.3">
      <c r="V41" s="4"/>
    </row>
    <row r="43" spans="1:22" x14ac:dyDescent="0.3">
      <c r="P43" s="4"/>
    </row>
    <row r="44" spans="1:22" x14ac:dyDescent="0.3">
      <c r="P44" s="4"/>
    </row>
  </sheetData>
  <mergeCells count="23">
    <mergeCell ref="A3:U3"/>
    <mergeCell ref="A4:U4"/>
    <mergeCell ref="I6:N6"/>
    <mergeCell ref="Q7:U7"/>
    <mergeCell ref="A8:A10"/>
    <mergeCell ref="B8:B10"/>
    <mergeCell ref="C8:C10"/>
    <mergeCell ref="D8:D10"/>
    <mergeCell ref="E8:E10"/>
    <mergeCell ref="F8:J8"/>
    <mergeCell ref="F9:G9"/>
    <mergeCell ref="I9:J9"/>
    <mergeCell ref="Q8:Q9"/>
    <mergeCell ref="R8:R9"/>
    <mergeCell ref="S8:S9"/>
    <mergeCell ref="T8:T9"/>
    <mergeCell ref="V8:V10"/>
    <mergeCell ref="L37:N37"/>
    <mergeCell ref="L38:N38"/>
    <mergeCell ref="K8:L9"/>
    <mergeCell ref="U8:U10"/>
    <mergeCell ref="M8:N9"/>
    <mergeCell ref="O8:P9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54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розрахунок (6)</vt:lpstr>
      <vt:lpstr>'розрахунок (6)'!Область_друку</vt:lpstr>
    </vt:vector>
  </TitlesOfParts>
  <Company>Private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2026-07-23T08:25:53Z</cp:lastPrinted>
  <dcterms:created xsi:type="dcterms:W3CDTF">2019-11-15T06:35:03Z</dcterms:created>
  <dcterms:modified xsi:type="dcterms:W3CDTF">2026-07-24T09:29:23Z</dcterms:modified>
</cp:coreProperties>
</file>