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ішення сесій 2020 рік на 2024 рік\Сімдесят п'ята сесія 24.09.2026\Рішення\"/>
    </mc:Choice>
  </mc:AlternateContent>
  <xr:revisionPtr revIDLastSave="0" documentId="8_{2C893054-76C0-4E67-A5F4-6907E2804E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,10,2026" sheetId="1" r:id="rId1"/>
    <sheet name="ЛОГІКА" sheetId="5" state="hidden" r:id="rId2"/>
    <sheet name="розрах до логіки" sheetId="3" state="hidden" r:id="rId3"/>
    <sheet name="адм+вчит" sheetId="4" state="hidden" r:id="rId4"/>
  </sheets>
  <calcPr calcId="181029"/>
</workbook>
</file>

<file path=xl/calcChain.xml><?xml version="1.0" encoding="utf-8"?>
<calcChain xmlns="http://schemas.openxmlformats.org/spreadsheetml/2006/main">
  <c r="C23" i="1" l="1"/>
  <c r="K22" i="1" l="1"/>
  <c r="E22" i="1"/>
  <c r="E21" i="1"/>
  <c r="E20" i="1"/>
  <c r="E19" i="1"/>
  <c r="E18" i="1"/>
  <c r="D16" i="1"/>
  <c r="E15" i="1"/>
  <c r="G18" i="1" l="1"/>
  <c r="I20" i="1"/>
  <c r="D17" i="1"/>
  <c r="E17" i="1" s="1"/>
  <c r="J16" i="1"/>
  <c r="G19" i="1"/>
  <c r="L19" i="1" s="1"/>
  <c r="G21" i="1"/>
  <c r="I18" i="1"/>
  <c r="I21" i="1"/>
  <c r="E16" i="1"/>
  <c r="I19" i="1"/>
  <c r="I22" i="1"/>
  <c r="G20" i="1"/>
  <c r="L20" i="1" s="1"/>
  <c r="G22" i="1"/>
  <c r="L22" i="1" s="1"/>
  <c r="I15" i="1"/>
  <c r="G15" i="1"/>
  <c r="L15" i="1" s="1"/>
  <c r="L18" i="1" l="1"/>
  <c r="L21" i="1"/>
  <c r="G17" i="1"/>
  <c r="L17" i="1" s="1"/>
  <c r="I17" i="1"/>
  <c r="I16" i="1"/>
  <c r="G16" i="1"/>
  <c r="L16" i="1" s="1"/>
  <c r="L23" i="1" s="1"/>
  <c r="K49" i="5" l="1"/>
  <c r="G52" i="5" l="1"/>
  <c r="G59" i="5" s="1"/>
  <c r="I52" i="5"/>
  <c r="I59" i="5" s="1"/>
  <c r="G53" i="5"/>
  <c r="I53" i="5"/>
  <c r="G54" i="5"/>
  <c r="I54" i="5"/>
  <c r="G55" i="5"/>
  <c r="I55" i="5"/>
  <c r="G56" i="5"/>
  <c r="I56" i="5"/>
  <c r="G57" i="5"/>
  <c r="I57" i="5"/>
  <c r="G58" i="5"/>
  <c r="I58" i="5"/>
  <c r="K47" i="5"/>
  <c r="K50" i="5"/>
  <c r="L44" i="5"/>
  <c r="K53" i="5" s="1"/>
  <c r="L49" i="5"/>
  <c r="L50" i="5"/>
  <c r="K48" i="5"/>
  <c r="L48" i="5" s="1"/>
  <c r="K46" i="5"/>
  <c r="L46" i="5" s="1"/>
  <c r="K45" i="5"/>
  <c r="L45" i="5" s="1"/>
  <c r="K43" i="5"/>
  <c r="C10" i="5"/>
  <c r="C41" i="5" s="1"/>
  <c r="E50" i="5"/>
  <c r="G10" i="5"/>
  <c r="G41" i="5" s="1"/>
  <c r="I10" i="5"/>
  <c r="K10" i="5"/>
  <c r="K41" i="5" s="1"/>
  <c r="L10" i="5"/>
  <c r="M10" i="5"/>
  <c r="N10" i="5"/>
  <c r="P10" i="5"/>
  <c r="I41" i="5"/>
  <c r="L41" i="5"/>
  <c r="M41" i="5"/>
  <c r="N41" i="5"/>
  <c r="P40" i="5"/>
  <c r="O40" i="5"/>
  <c r="C40" i="5"/>
  <c r="O36" i="5"/>
  <c r="C36" i="5"/>
  <c r="O33" i="5"/>
  <c r="C33" i="5"/>
  <c r="P27" i="5"/>
  <c r="O27" i="5"/>
  <c r="C27" i="5"/>
  <c r="P20" i="5"/>
  <c r="C20" i="5"/>
  <c r="P16" i="5"/>
  <c r="O16" i="5"/>
  <c r="C16" i="5"/>
  <c r="F9" i="5"/>
  <c r="H9" i="5" s="1"/>
  <c r="F19" i="5"/>
  <c r="O19" i="5" s="1"/>
  <c r="F15" i="5"/>
  <c r="F14" i="5"/>
  <c r="F26" i="5"/>
  <c r="E32" i="5"/>
  <c r="F32" i="5" s="1"/>
  <c r="F31" i="5"/>
  <c r="K55" i="5" l="1"/>
  <c r="L47" i="5"/>
  <c r="K56" i="5" s="1"/>
  <c r="K54" i="5"/>
  <c r="K51" i="5"/>
  <c r="K52" i="5"/>
  <c r="K57" i="5"/>
  <c r="K58" i="5"/>
  <c r="L43" i="5"/>
  <c r="O9" i="5"/>
  <c r="J32" i="5"/>
  <c r="H32" i="5"/>
  <c r="J31" i="5"/>
  <c r="P32" i="5"/>
  <c r="J26" i="5"/>
  <c r="J14" i="5"/>
  <c r="J15" i="5"/>
  <c r="J19" i="5"/>
  <c r="H31" i="5"/>
  <c r="H26" i="5"/>
  <c r="H14" i="5"/>
  <c r="H15" i="5"/>
  <c r="H19" i="5"/>
  <c r="J9" i="5"/>
  <c r="K59" i="5" l="1"/>
  <c r="L51" i="5"/>
  <c r="Q15" i="5"/>
  <c r="Q26" i="5"/>
  <c r="Q19" i="5"/>
  <c r="Q14" i="5"/>
  <c r="Q32" i="5"/>
  <c r="Q9" i="5"/>
  <c r="Q31" i="5"/>
  <c r="F18" i="5"/>
  <c r="H18" i="5" s="1"/>
  <c r="F8" i="5"/>
  <c r="O8" i="5" s="1"/>
  <c r="F7" i="5"/>
  <c r="H7" i="5" s="1"/>
  <c r="F6" i="5"/>
  <c r="O6" i="5" s="1"/>
  <c r="F5" i="5"/>
  <c r="H5" i="5" s="1"/>
  <c r="F13" i="5"/>
  <c r="J13" i="5" s="1"/>
  <c r="F4" i="5"/>
  <c r="E30" i="5"/>
  <c r="P30" i="5" s="1"/>
  <c r="F29" i="5"/>
  <c r="J29" i="5" s="1"/>
  <c r="J4" i="5" l="1"/>
  <c r="F10" i="5"/>
  <c r="F43" i="5" s="1"/>
  <c r="P33" i="5"/>
  <c r="O5" i="5"/>
  <c r="O7" i="5"/>
  <c r="O18" i="5"/>
  <c r="H29" i="5"/>
  <c r="Q29" i="5" s="1"/>
  <c r="F30" i="5"/>
  <c r="H30" i="5" s="1"/>
  <c r="H4" i="5"/>
  <c r="H13" i="5"/>
  <c r="Q13" i="5" s="1"/>
  <c r="J6" i="5"/>
  <c r="J8" i="5"/>
  <c r="J5" i="5"/>
  <c r="Q5" i="5" s="1"/>
  <c r="H6" i="5"/>
  <c r="J7" i="5"/>
  <c r="Q7" i="5" s="1"/>
  <c r="H8" i="5"/>
  <c r="Q8" i="5" s="1"/>
  <c r="J18" i="5"/>
  <c r="N43" i="5" l="1"/>
  <c r="Q18" i="5"/>
  <c r="Q4" i="5"/>
  <c r="H10" i="5"/>
  <c r="J43" i="5" s="1"/>
  <c r="J10" i="5"/>
  <c r="O10" i="5"/>
  <c r="J30" i="5"/>
  <c r="Q30" i="5" s="1"/>
  <c r="Q6" i="5"/>
  <c r="F12" i="5"/>
  <c r="J12" i="5" s="1"/>
  <c r="F25" i="5"/>
  <c r="J25" i="5" s="1"/>
  <c r="F24" i="5"/>
  <c r="J24" i="5" s="1"/>
  <c r="E35" i="5"/>
  <c r="F35" i="5" s="1"/>
  <c r="P34" i="5"/>
  <c r="F34" i="5"/>
  <c r="R43" i="5" l="1"/>
  <c r="F52" i="5"/>
  <c r="P36" i="5"/>
  <c r="P41" i="5" s="1"/>
  <c r="Q10" i="5"/>
  <c r="H34" i="5"/>
  <c r="F36" i="5"/>
  <c r="F48" i="5" s="1"/>
  <c r="H43" i="5"/>
  <c r="H24" i="5"/>
  <c r="Q24" i="5" s="1"/>
  <c r="H25" i="5"/>
  <c r="H12" i="5"/>
  <c r="Q12" i="5" s="1"/>
  <c r="J35" i="5"/>
  <c r="H35" i="5"/>
  <c r="Q25" i="5"/>
  <c r="J34" i="5"/>
  <c r="J36" i="5" s="1"/>
  <c r="H48" i="5" s="1"/>
  <c r="P43" i="5" l="1"/>
  <c r="J52" i="5"/>
  <c r="P48" i="5"/>
  <c r="H57" i="5" s="1"/>
  <c r="N48" i="5"/>
  <c r="F57" i="5" s="1"/>
  <c r="H36" i="5"/>
  <c r="J48" i="5" s="1"/>
  <c r="Q35" i="5"/>
  <c r="Q34" i="5"/>
  <c r="R48" i="5" l="1"/>
  <c r="J57" i="5"/>
  <c r="H52" i="5"/>
  <c r="Q36" i="5"/>
  <c r="O17" i="5"/>
  <c r="F17" i="5"/>
  <c r="F11" i="5"/>
  <c r="F23" i="5"/>
  <c r="F22" i="5"/>
  <c r="F21" i="5"/>
  <c r="F28" i="5"/>
  <c r="F33" i="5" s="1"/>
  <c r="F47" i="5" s="1"/>
  <c r="E38" i="5"/>
  <c r="E39" i="5" s="1"/>
  <c r="F39" i="5" s="1"/>
  <c r="F37" i="5"/>
  <c r="N47" i="5" l="1"/>
  <c r="F56" i="5" s="1"/>
  <c r="F16" i="5"/>
  <c r="F44" i="5" s="1"/>
  <c r="O20" i="5"/>
  <c r="O41" i="5"/>
  <c r="F27" i="5"/>
  <c r="F46" i="5" s="1"/>
  <c r="H17" i="5"/>
  <c r="H20" i="5" s="1"/>
  <c r="J45" i="5" s="1"/>
  <c r="F20" i="5"/>
  <c r="F45" i="5" s="1"/>
  <c r="H39" i="5"/>
  <c r="J39" i="5"/>
  <c r="J37" i="5"/>
  <c r="J28" i="5"/>
  <c r="J33" i="5" s="1"/>
  <c r="H47" i="5" s="1"/>
  <c r="J21" i="5"/>
  <c r="J22" i="5"/>
  <c r="J23" i="5"/>
  <c r="J11" i="5"/>
  <c r="J17" i="5"/>
  <c r="H37" i="5"/>
  <c r="F38" i="5"/>
  <c r="F40" i="5" s="1"/>
  <c r="F49" i="5" s="1"/>
  <c r="H28" i="5"/>
  <c r="H33" i="5" s="1"/>
  <c r="J47" i="5" s="1"/>
  <c r="H21" i="5"/>
  <c r="H22" i="5"/>
  <c r="H23" i="5"/>
  <c r="H11" i="5"/>
  <c r="R45" i="5" l="1"/>
  <c r="J54" i="5" s="1"/>
  <c r="N49" i="5"/>
  <c r="F58" i="5" s="1"/>
  <c r="N44" i="5"/>
  <c r="F53" i="5"/>
  <c r="N46" i="5"/>
  <c r="F55" i="5" s="1"/>
  <c r="R47" i="5"/>
  <c r="J56" i="5" s="1"/>
  <c r="P47" i="5"/>
  <c r="H56" i="5" s="1"/>
  <c r="N45" i="5"/>
  <c r="F54" i="5" s="1"/>
  <c r="H27" i="5"/>
  <c r="J46" i="5" s="1"/>
  <c r="Q17" i="5"/>
  <c r="Q20" i="5" s="1"/>
  <c r="J20" i="5"/>
  <c r="H45" i="5" s="1"/>
  <c r="J27" i="5"/>
  <c r="H46" i="5" s="1"/>
  <c r="F41" i="5"/>
  <c r="H16" i="5"/>
  <c r="J44" i="5" s="1"/>
  <c r="J16" i="5"/>
  <c r="H44" i="5" s="1"/>
  <c r="F50" i="5"/>
  <c r="Q39" i="5"/>
  <c r="Q23" i="5"/>
  <c r="Q21" i="5"/>
  <c r="Q11" i="5"/>
  <c r="Q22" i="5"/>
  <c r="Q28" i="5"/>
  <c r="Q33" i="5" s="1"/>
  <c r="Q37" i="5"/>
  <c r="J38" i="5"/>
  <c r="J40" i="5" s="1"/>
  <c r="H49" i="5" s="1"/>
  <c r="H38" i="5"/>
  <c r="H40" i="5" s="1"/>
  <c r="J49" i="5" s="1"/>
  <c r="G28" i="4"/>
  <c r="F24" i="4"/>
  <c r="F25" i="4"/>
  <c r="C25" i="4"/>
  <c r="D25" i="4"/>
  <c r="E25" i="4"/>
  <c r="F29" i="4"/>
  <c r="I25" i="4"/>
  <c r="F28" i="4"/>
  <c r="I27" i="4"/>
  <c r="E27" i="4"/>
  <c r="N15" i="4"/>
  <c r="B15" i="4"/>
  <c r="D13" i="4"/>
  <c r="D14" i="4" s="1"/>
  <c r="E14" i="4" s="1"/>
  <c r="E12" i="4"/>
  <c r="N11" i="4"/>
  <c r="B11" i="4"/>
  <c r="E10" i="4"/>
  <c r="E11" i="4" s="1"/>
  <c r="B9" i="4"/>
  <c r="B16" i="4" s="1"/>
  <c r="N8" i="4"/>
  <c r="E8" i="4"/>
  <c r="G8" i="4" s="1"/>
  <c r="E7" i="4"/>
  <c r="I7" i="4" s="1"/>
  <c r="E6" i="4"/>
  <c r="N5" i="4"/>
  <c r="E5" i="4"/>
  <c r="B5" i="4"/>
  <c r="E4" i="4"/>
  <c r="I4" i="4" s="1"/>
  <c r="G3" i="4"/>
  <c r="E3" i="4"/>
  <c r="P49" i="5" l="1"/>
  <c r="H58" i="5" s="1"/>
  <c r="G7" i="4"/>
  <c r="P7" i="4" s="1"/>
  <c r="G4" i="4"/>
  <c r="G5" i="4" s="1"/>
  <c r="J21" i="4" s="1"/>
  <c r="E9" i="4"/>
  <c r="J41" i="5"/>
  <c r="R46" i="5"/>
  <c r="J55" i="5"/>
  <c r="G6" i="4"/>
  <c r="G9" i="4" s="1"/>
  <c r="J22" i="4" s="1"/>
  <c r="P44" i="5"/>
  <c r="P46" i="5"/>
  <c r="H55" i="5" s="1"/>
  <c r="F59" i="5"/>
  <c r="R49" i="5"/>
  <c r="J58" i="5" s="1"/>
  <c r="R44" i="5"/>
  <c r="R50" i="5" s="1"/>
  <c r="P45" i="5"/>
  <c r="H54" i="5" s="1"/>
  <c r="N50" i="5"/>
  <c r="Q27" i="5"/>
  <c r="J50" i="5"/>
  <c r="Q16" i="5"/>
  <c r="H50" i="5"/>
  <c r="J51" i="5" s="1"/>
  <c r="H41" i="5"/>
  <c r="Q38" i="5"/>
  <c r="F27" i="4"/>
  <c r="P4" i="4"/>
  <c r="G14" i="4"/>
  <c r="I14" i="4"/>
  <c r="P14" i="4" s="1"/>
  <c r="N9" i="4"/>
  <c r="N16" i="4" s="1"/>
  <c r="I10" i="4"/>
  <c r="I11" i="4" s="1"/>
  <c r="G23" i="4" s="1"/>
  <c r="I12" i="4"/>
  <c r="I3" i="4"/>
  <c r="I6" i="4"/>
  <c r="I8" i="4"/>
  <c r="P8" i="4" s="1"/>
  <c r="G10" i="4"/>
  <c r="G11" i="4" s="1"/>
  <c r="J23" i="4" s="1"/>
  <c r="G12" i="4"/>
  <c r="E13" i="4"/>
  <c r="E44" i="3"/>
  <c r="G44" i="3"/>
  <c r="I44" i="3"/>
  <c r="K44" i="3"/>
  <c r="L44" i="3"/>
  <c r="M44" i="3"/>
  <c r="N44" i="3"/>
  <c r="P44" i="3"/>
  <c r="Q44" i="3"/>
  <c r="C36" i="3"/>
  <c r="F36" i="3"/>
  <c r="H36" i="3"/>
  <c r="J36" i="3"/>
  <c r="O36" i="3"/>
  <c r="Q36" i="3"/>
  <c r="C33" i="3"/>
  <c r="F33" i="3"/>
  <c r="H33" i="3"/>
  <c r="J33" i="3"/>
  <c r="O33" i="3"/>
  <c r="Q33" i="3"/>
  <c r="C28" i="3"/>
  <c r="F28" i="3"/>
  <c r="H28" i="3"/>
  <c r="H44" i="3" s="1"/>
  <c r="J28" i="3"/>
  <c r="O28" i="3"/>
  <c r="Q28" i="3"/>
  <c r="C22" i="3"/>
  <c r="C44" i="3" s="1"/>
  <c r="F22" i="3"/>
  <c r="F44" i="3" s="1"/>
  <c r="H22" i="3"/>
  <c r="J22" i="3"/>
  <c r="J44" i="3" s="1"/>
  <c r="O22" i="3"/>
  <c r="O44" i="3" s="1"/>
  <c r="Q22" i="3"/>
  <c r="I9" i="4" l="1"/>
  <c r="G22" i="4" s="1"/>
  <c r="P50" i="5"/>
  <c r="S50" i="5" s="1"/>
  <c r="Q41" i="5"/>
  <c r="S4" i="5"/>
  <c r="Q40" i="5"/>
  <c r="J53" i="5"/>
  <c r="J59" i="5" s="1"/>
  <c r="H53" i="5"/>
  <c r="H59" i="5" s="1"/>
  <c r="L59" i="5" s="1"/>
  <c r="S10" i="5"/>
  <c r="I13" i="4"/>
  <c r="I15" i="4" s="1"/>
  <c r="G24" i="4" s="1"/>
  <c r="G13" i="4"/>
  <c r="P13" i="4" s="1"/>
  <c r="G15" i="4"/>
  <c r="J24" i="4" s="1"/>
  <c r="J25" i="4" s="1"/>
  <c r="J27" i="4" s="1"/>
  <c r="J28" i="4" s="1"/>
  <c r="G16" i="4"/>
  <c r="P6" i="4"/>
  <c r="P9" i="4" s="1"/>
  <c r="E15" i="4"/>
  <c r="P12" i="4"/>
  <c r="P10" i="4"/>
  <c r="P11" i="4" s="1"/>
  <c r="I5" i="4"/>
  <c r="G21" i="4" s="1"/>
  <c r="P3" i="4"/>
  <c r="E16" i="4"/>
  <c r="O15" i="3"/>
  <c r="C15" i="3"/>
  <c r="O11" i="3"/>
  <c r="C11" i="3"/>
  <c r="C9" i="3"/>
  <c r="O5" i="3"/>
  <c r="C5" i="3"/>
  <c r="O8" i="3"/>
  <c r="O9" i="3" s="1"/>
  <c r="F8" i="3"/>
  <c r="H8" i="3" s="1"/>
  <c r="F4" i="3"/>
  <c r="J4" i="3" s="1"/>
  <c r="F7" i="3"/>
  <c r="J7" i="3" s="1"/>
  <c r="F6" i="3"/>
  <c r="J6" i="3" s="1"/>
  <c r="F3" i="3"/>
  <c r="J3" i="3" s="1"/>
  <c r="F10" i="3"/>
  <c r="J10" i="3" s="1"/>
  <c r="J11" i="3" s="1"/>
  <c r="E13" i="3"/>
  <c r="F13" i="3" s="1"/>
  <c r="F12" i="3"/>
  <c r="P15" i="4" l="1"/>
  <c r="G25" i="4"/>
  <c r="I16" i="4"/>
  <c r="P5" i="4"/>
  <c r="P16" i="4" s="1"/>
  <c r="C16" i="3"/>
  <c r="O16" i="3"/>
  <c r="F5" i="3"/>
  <c r="J5" i="3"/>
  <c r="F9" i="3"/>
  <c r="F11" i="3"/>
  <c r="H10" i="3"/>
  <c r="H11" i="3" s="1"/>
  <c r="H3" i="3"/>
  <c r="H6" i="3"/>
  <c r="H7" i="3"/>
  <c r="Q7" i="3" s="1"/>
  <c r="H4" i="3"/>
  <c r="Q4" i="3" s="1"/>
  <c r="E14" i="3"/>
  <c r="F14" i="3" s="1"/>
  <c r="F15" i="3" s="1"/>
  <c r="H12" i="3"/>
  <c r="Q10" i="3"/>
  <c r="Q11" i="3" s="1"/>
  <c r="Q6" i="3"/>
  <c r="J13" i="3"/>
  <c r="J12" i="3"/>
  <c r="H13" i="3"/>
  <c r="J8" i="3"/>
  <c r="Q8" i="3" s="1"/>
  <c r="J14" i="3" l="1"/>
  <c r="G29" i="4"/>
  <c r="P25" i="4"/>
  <c r="P27" i="4" s="1"/>
  <c r="J15" i="3"/>
  <c r="Q9" i="3"/>
  <c r="H5" i="3"/>
  <c r="F16" i="3"/>
  <c r="J9" i="3"/>
  <c r="J16" i="3" s="1"/>
  <c r="Q3" i="3"/>
  <c r="H14" i="3"/>
  <c r="H15" i="3" s="1"/>
  <c r="H9" i="3"/>
  <c r="Q12" i="3"/>
  <c r="Q13" i="3"/>
  <c r="Q14" i="3" l="1"/>
  <c r="Q15" i="3" s="1"/>
  <c r="H16" i="3"/>
  <c r="Q5" i="3"/>
  <c r="Q16" i="3" s="1"/>
  <c r="E29" i="1" l="1"/>
  <c r="E28" i="1"/>
  <c r="L28" i="1" s="1"/>
  <c r="E27" i="1"/>
  <c r="L27" i="1" s="1"/>
  <c r="E26" i="1"/>
  <c r="L26" i="1" s="1"/>
  <c r="E25" i="1"/>
  <c r="L25" i="1" s="1"/>
  <c r="C30" i="1"/>
  <c r="K30" i="1"/>
  <c r="J30" i="1"/>
  <c r="I30" i="1"/>
  <c r="G30" i="1"/>
  <c r="J23" i="1"/>
  <c r="K23" i="1"/>
  <c r="J31" i="1" l="1"/>
  <c r="K31" i="1"/>
  <c r="E23" i="1"/>
  <c r="E30" i="1"/>
  <c r="L29" i="1"/>
  <c r="L30" i="1" s="1"/>
  <c r="G23" i="1" l="1"/>
  <c r="I23" i="1"/>
  <c r="E31" i="1" l="1"/>
  <c r="G31" i="1"/>
  <c r="C31" i="1"/>
  <c r="I31" i="1" l="1"/>
  <c r="L31" i="1" l="1"/>
</calcChain>
</file>

<file path=xl/sharedStrings.xml><?xml version="1.0" encoding="utf-8"?>
<sst xmlns="http://schemas.openxmlformats.org/spreadsheetml/2006/main" count="178" uniqueCount="93">
  <si>
    <t>ШТАТНИЙ РОЗПИС</t>
  </si>
  <si>
    <t>№</t>
  </si>
  <si>
    <t>Надбавки</t>
  </si>
  <si>
    <t xml:space="preserve">за престижність праці </t>
  </si>
  <si>
    <t>Адмінперсонал</t>
  </si>
  <si>
    <t>Директор</t>
  </si>
  <si>
    <t>Вчителі</t>
  </si>
  <si>
    <t>__________________________</t>
  </si>
  <si>
    <t>М.П.</t>
  </si>
  <si>
    <t>Головний бухгалтер</t>
  </si>
  <si>
    <t>інші доплати</t>
  </si>
  <si>
    <t>ЗАТВЕРДЖУЮ :</t>
  </si>
  <si>
    <t>Начальник Відділу освіти , молоді та спорту Миколаївської сільської ради Сумського району Сумської області</t>
  </si>
  <si>
    <t>_______________ 20___ р.            М.П.</t>
  </si>
  <si>
    <t>Миколаївської сільської ради Сумського району Сумської області</t>
  </si>
  <si>
    <t>Доплати</t>
  </si>
  <si>
    <t xml:space="preserve">  ___________________________Наталія МАКШЕЄВА</t>
  </si>
  <si>
    <t>ВСЬОГО:</t>
  </si>
  <si>
    <t>РАЗОМ вчителі:</t>
  </si>
  <si>
    <t xml:space="preserve"> за вислугу років</t>
  </si>
  <si>
    <t xml:space="preserve"> за перевірку зошитів</t>
  </si>
  <si>
    <t>за класне керівництво</t>
  </si>
  <si>
    <t>за роботу в інкклюзивному класі</t>
  </si>
  <si>
    <t>старший вчитель</t>
  </si>
  <si>
    <t>Антоніна ВОДА</t>
  </si>
  <si>
    <t>Надія ОДІНЦОВА</t>
  </si>
  <si>
    <t>за складність, напруженість у роботі</t>
  </si>
  <si>
    <t>за високі досягнення в праці</t>
  </si>
  <si>
    <t>Назва структурного підрозділу та посад</t>
  </si>
  <si>
    <t>Фонд заробітної плати на місяць (грн)</t>
  </si>
  <si>
    <t>Практичний психолог</t>
  </si>
  <si>
    <t>Вихователь з підвезення</t>
  </si>
  <si>
    <t>Асистент вчителя</t>
  </si>
  <si>
    <t>вчитель вищ.кат.</t>
  </si>
  <si>
    <t>вчитель І кат.</t>
  </si>
  <si>
    <t>вчитель ІІ кат.</t>
  </si>
  <si>
    <t>вчитель без кат.</t>
  </si>
  <si>
    <t>х</t>
  </si>
  <si>
    <t>%</t>
  </si>
  <si>
    <t>Кількість штатних одиниць</t>
  </si>
  <si>
    <t xml:space="preserve">Розряд </t>
  </si>
  <si>
    <t>Посадовий оклад</t>
  </si>
  <si>
    <t>Місячний фонд за посадовим окладом</t>
  </si>
  <si>
    <t>Миколаївський ліцей</t>
  </si>
  <si>
    <t>Заступник директора з навчально-виховної роботи (95% окладу директора)</t>
  </si>
  <si>
    <t>РАЗОМ :</t>
  </si>
  <si>
    <t>МИК</t>
  </si>
  <si>
    <t>ОКЛ</t>
  </si>
  <si>
    <t>ПРЕСТ</t>
  </si>
  <si>
    <t>ВИСЛ</t>
  </si>
  <si>
    <t>ІНКЛ</t>
  </si>
  <si>
    <t>тариф</t>
  </si>
  <si>
    <t>11 Итог</t>
  </si>
  <si>
    <t>12 Итог</t>
  </si>
  <si>
    <t>13 Итог</t>
  </si>
  <si>
    <t>17 Итог</t>
  </si>
  <si>
    <t>Общий итог</t>
  </si>
  <si>
    <t>ВСЬОГО</t>
  </si>
  <si>
    <t>15 Итог</t>
  </si>
  <si>
    <t>10 Итог</t>
  </si>
  <si>
    <t>14 Итог</t>
  </si>
  <si>
    <t>16 Итог</t>
  </si>
  <si>
    <t>окл</t>
  </si>
  <si>
    <t>адм</t>
  </si>
  <si>
    <t>вчит</t>
  </si>
  <si>
    <t>прест вся</t>
  </si>
  <si>
    <t>обов всі</t>
  </si>
  <si>
    <t>обов вчит</t>
  </si>
  <si>
    <t>прес вчит</t>
  </si>
  <si>
    <t>Педагог-організатор вищ.категор.</t>
  </si>
  <si>
    <t>Соціальний педагог</t>
  </si>
  <si>
    <t>Педагог-організатор І категорії</t>
  </si>
  <si>
    <t>Педагог-організатор 1 категорії</t>
  </si>
  <si>
    <t>Практичний психолог 1 кат.</t>
  </si>
  <si>
    <t>Заступник директора з навчально-виховної роботи (90% окладу директора)</t>
  </si>
  <si>
    <t>Педагог-організатор без категорії</t>
  </si>
  <si>
    <t>Асистент вчителя ІІ кат.</t>
  </si>
  <si>
    <t>необов</t>
  </si>
  <si>
    <t>мп</t>
  </si>
  <si>
    <t>щв</t>
  </si>
  <si>
    <t>обов</t>
  </si>
  <si>
    <t>з квіт</t>
  </si>
  <si>
    <t>адмін пед без ястр</t>
  </si>
  <si>
    <t>Практичний психолог І категорії</t>
  </si>
  <si>
    <t>ПОГОДЖЕНО:</t>
  </si>
  <si>
    <t xml:space="preserve">  ___________________________Антоніна ВОДА</t>
  </si>
  <si>
    <t>Директор Миколаївського ліцею Сумського району Сумської області</t>
  </si>
  <si>
    <t>Педагог-організатор ІІ категорії</t>
  </si>
  <si>
    <t>Соціальний педагог ІІ категорії</t>
  </si>
  <si>
    <t>за складність, напруженість у роботі 10%</t>
  </si>
  <si>
    <t>з 01 жовтня 2026 року</t>
  </si>
  <si>
    <t>Штат в кількості  17,0 штатних одиниць з місячним фондом</t>
  </si>
  <si>
    <r>
      <t>заробітної плати</t>
    </r>
    <r>
      <rPr>
        <b/>
        <sz val="10"/>
        <rFont val="Times New Roman"/>
        <family val="1"/>
        <charset val="204"/>
      </rPr>
      <t xml:space="preserve"> Двісті двадцять сім тисяч триста сімдесят дві гривні 36 копійок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</si>
</sst>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1" fontId="0" fillId="0" borderId="0" xfId="0" applyNumberFormat="1"/>
    <xf numFmtId="2" fontId="0" fillId="0" borderId="0" xfId="0" applyNumberFormat="1"/>
    <xf numFmtId="0" fontId="6" fillId="0" borderId="0" xfId="0" applyFont="1"/>
    <xf numFmtId="0" fontId="9" fillId="0" borderId="0" xfId="0" applyFont="1"/>
    <xf numFmtId="2" fontId="3" fillId="5" borderId="0" xfId="0" applyNumberFormat="1" applyFont="1" applyFill="1"/>
    <xf numFmtId="2" fontId="2" fillId="5" borderId="0" xfId="0" applyNumberFormat="1" applyFont="1" applyFill="1"/>
    <xf numFmtId="0" fontId="0" fillId="5" borderId="0" xfId="0" applyFill="1"/>
    <xf numFmtId="0" fontId="14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6" xfId="0" applyFont="1" applyBorder="1"/>
    <xf numFmtId="2" fontId="14" fillId="0" borderId="6" xfId="0" applyNumberFormat="1" applyFont="1" applyBorder="1"/>
    <xf numFmtId="2" fontId="12" fillId="2" borderId="6" xfId="0" applyNumberFormat="1" applyFont="1" applyFill="1" applyBorder="1"/>
    <xf numFmtId="0" fontId="12" fillId="3" borderId="2" xfId="0" applyFont="1" applyFill="1" applyBorder="1"/>
    <xf numFmtId="0" fontId="12" fillId="3" borderId="3" xfId="0" applyFont="1" applyFill="1" applyBorder="1"/>
    <xf numFmtId="0" fontId="12" fillId="3" borderId="4" xfId="0" applyFont="1" applyFill="1" applyBorder="1"/>
    <xf numFmtId="0" fontId="13" fillId="0" borderId="6" xfId="0" applyFont="1" applyBorder="1"/>
    <xf numFmtId="2" fontId="13" fillId="0" borderId="6" xfId="0" applyNumberFormat="1" applyFont="1" applyBorder="1"/>
    <xf numFmtId="2" fontId="14" fillId="3" borderId="6" xfId="0" applyNumberFormat="1" applyFont="1" applyFill="1" applyBorder="1"/>
    <xf numFmtId="2" fontId="16" fillId="2" borderId="6" xfId="0" applyNumberFormat="1" applyFont="1" applyFill="1" applyBorder="1"/>
    <xf numFmtId="2" fontId="12" fillId="4" borderId="6" xfId="0" applyNumberFormat="1" applyFont="1" applyFill="1" applyBorder="1"/>
    <xf numFmtId="0" fontId="15" fillId="5" borderId="0" xfId="0" applyFont="1" applyFill="1" applyAlignment="1">
      <alignment horizontal="center"/>
    </xf>
    <xf numFmtId="2" fontId="12" fillId="5" borderId="0" xfId="0" applyNumberFormat="1" applyFont="1" applyFill="1"/>
    <xf numFmtId="2" fontId="16" fillId="5" borderId="0" xfId="0" applyNumberFormat="1" applyFont="1" applyFill="1"/>
    <xf numFmtId="2" fontId="14" fillId="5" borderId="0" xfId="0" applyNumberFormat="1" applyFont="1" applyFill="1"/>
    <xf numFmtId="0" fontId="13" fillId="0" borderId="0" xfId="0" applyFont="1"/>
    <xf numFmtId="0" fontId="18" fillId="0" borderId="0" xfId="0" applyFont="1"/>
    <xf numFmtId="0" fontId="7" fillId="0" borderId="0" xfId="0" applyFont="1"/>
    <xf numFmtId="0" fontId="19" fillId="0" borderId="0" xfId="0" applyFont="1"/>
    <xf numFmtId="0" fontId="14" fillId="3" borderId="2" xfId="0" applyFont="1" applyFill="1" applyBorder="1" applyAlignment="1">
      <alignment horizontal="right"/>
    </xf>
    <xf numFmtId="0" fontId="14" fillId="0" borderId="6" xfId="0" applyFont="1" applyBorder="1" applyAlignment="1">
      <alignment horizontal="left"/>
    </xf>
    <xf numFmtId="0" fontId="14" fillId="0" borderId="6" xfId="0" applyFont="1" applyBorder="1" applyAlignment="1">
      <alignment horizontal="left" wrapText="1"/>
    </xf>
    <xf numFmtId="2" fontId="16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/>
    <xf numFmtId="2" fontId="12" fillId="6" borderId="6" xfId="0" applyNumberFormat="1" applyFont="1" applyFill="1" applyBorder="1"/>
    <xf numFmtId="0" fontId="12" fillId="6" borderId="6" xfId="0" applyFont="1" applyFill="1" applyBorder="1" applyAlignment="1">
      <alignment horizontal="center" vertical="center"/>
    </xf>
    <xf numFmtId="2" fontId="12" fillId="6" borderId="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vertical="center"/>
    </xf>
    <xf numFmtId="1" fontId="14" fillId="0" borderId="6" xfId="0" applyNumberFormat="1" applyFont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2" fontId="23" fillId="0" borderId="0" xfId="0" applyNumberFormat="1" applyFont="1"/>
    <xf numFmtId="2" fontId="0" fillId="7" borderId="0" xfId="0" applyNumberFormat="1" applyFill="1"/>
    <xf numFmtId="2" fontId="23" fillId="7" borderId="0" xfId="0" applyNumberFormat="1" applyFont="1" applyFill="1"/>
    <xf numFmtId="0" fontId="0" fillId="7" borderId="0" xfId="0" applyFill="1"/>
    <xf numFmtId="2" fontId="14" fillId="5" borderId="6" xfId="0" applyNumberFormat="1" applyFont="1" applyFill="1" applyBorder="1"/>
    <xf numFmtId="0" fontId="14" fillId="0" borderId="2" xfId="0" applyFont="1" applyBorder="1"/>
    <xf numFmtId="0" fontId="14" fillId="0" borderId="0" xfId="0" applyFont="1"/>
    <xf numFmtId="0" fontId="14" fillId="0" borderId="0" xfId="0" applyFont="1" applyAlignment="1">
      <alignment horizontal="left" wrapText="1"/>
    </xf>
    <xf numFmtId="2" fontId="14" fillId="0" borderId="0" xfId="0" applyNumberFormat="1" applyFont="1"/>
    <xf numFmtId="0" fontId="12" fillId="0" borderId="0" xfId="0" applyFont="1"/>
    <xf numFmtId="0" fontId="14" fillId="8" borderId="6" xfId="0" applyFont="1" applyFill="1" applyBorder="1"/>
    <xf numFmtId="0" fontId="14" fillId="8" borderId="6" xfId="0" applyFont="1" applyFill="1" applyBorder="1" applyAlignment="1">
      <alignment horizontal="left" wrapText="1"/>
    </xf>
    <xf numFmtId="0" fontId="12" fillId="8" borderId="6" xfId="0" applyFont="1" applyFill="1" applyBorder="1"/>
    <xf numFmtId="2" fontId="14" fillId="8" borderId="6" xfId="0" applyNumberFormat="1" applyFont="1" applyFill="1" applyBorder="1"/>
    <xf numFmtId="1" fontId="14" fillId="8" borderId="6" xfId="0" applyNumberFormat="1" applyFont="1" applyFill="1" applyBorder="1"/>
    <xf numFmtId="0" fontId="0" fillId="8" borderId="0" xfId="0" applyFill="1"/>
    <xf numFmtId="0" fontId="14" fillId="8" borderId="6" xfId="0" applyFont="1" applyFill="1" applyBorder="1" applyAlignment="1">
      <alignment horizontal="left"/>
    </xf>
    <xf numFmtId="0" fontId="14" fillId="8" borderId="2" xfId="0" applyFont="1" applyFill="1" applyBorder="1"/>
    <xf numFmtId="0" fontId="14" fillId="8" borderId="0" xfId="0" applyFont="1" applyFill="1"/>
    <xf numFmtId="0" fontId="14" fillId="8" borderId="0" xfId="0" applyFont="1" applyFill="1" applyAlignment="1">
      <alignment horizontal="left" wrapText="1"/>
    </xf>
    <xf numFmtId="0" fontId="12" fillId="8" borderId="0" xfId="0" applyFont="1" applyFill="1"/>
    <xf numFmtId="2" fontId="14" fillId="8" borderId="0" xfId="0" applyNumberFormat="1" applyFont="1" applyFill="1"/>
    <xf numFmtId="1" fontId="14" fillId="8" borderId="0" xfId="0" applyNumberFormat="1" applyFont="1" applyFill="1"/>
    <xf numFmtId="4" fontId="0" fillId="0" borderId="0" xfId="0" applyNumberFormat="1"/>
    <xf numFmtId="2" fontId="0" fillId="8" borderId="0" xfId="0" applyNumberFormat="1" applyFill="1"/>
    <xf numFmtId="2" fontId="5" fillId="0" borderId="0" xfId="0" applyNumberFormat="1" applyFont="1"/>
    <xf numFmtId="2" fontId="24" fillId="0" borderId="0" xfId="0" applyNumberFormat="1" applyFont="1"/>
    <xf numFmtId="0" fontId="5" fillId="8" borderId="0" xfId="0" applyFont="1" applyFill="1"/>
    <xf numFmtId="0" fontId="12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6" borderId="2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left"/>
    </xf>
    <xf numFmtId="0" fontId="14" fillId="0" borderId="1" xfId="0" applyFont="1" applyBorder="1"/>
    <xf numFmtId="0" fontId="13" fillId="0" borderId="5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2" fillId="6" borderId="3" xfId="0" applyFont="1" applyFill="1" applyBorder="1" applyAlignment="1">
      <alignment horizontal="left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selection activeCell="R3" sqref="R3"/>
    </sheetView>
  </sheetViews>
  <sheetFormatPr defaultRowHeight="14.4" x14ac:dyDescent="0.3"/>
  <cols>
    <col min="1" max="1" width="3.109375" customWidth="1"/>
    <col min="2" max="2" width="25.5546875" customWidth="1"/>
    <col min="3" max="3" width="7.88671875" customWidth="1"/>
    <col min="4" max="4" width="9" customWidth="1"/>
    <col min="5" max="5" width="8.33203125" customWidth="1"/>
    <col min="6" max="6" width="3" customWidth="1"/>
    <col min="7" max="7" width="7.109375" customWidth="1"/>
    <col min="8" max="8" width="3.109375" customWidth="1"/>
    <col min="9" max="9" width="7.44140625" customWidth="1"/>
    <col min="10" max="10" width="11.33203125" customWidth="1"/>
    <col min="11" max="11" width="11" customWidth="1"/>
    <col min="12" max="12" width="12.109375" customWidth="1"/>
    <col min="13" max="13" width="6.33203125" customWidth="1"/>
    <col min="14" max="14" width="10.33203125" customWidth="1"/>
    <col min="15" max="15" width="0.109375" hidden="1" customWidth="1"/>
    <col min="16" max="16" width="2.109375" hidden="1" customWidth="1"/>
    <col min="17" max="17" width="6.88671875" customWidth="1"/>
    <col min="18" max="18" width="10.5546875" customWidth="1"/>
    <col min="19" max="19" width="10.6640625" customWidth="1"/>
  </cols>
  <sheetData>
    <row r="1" spans="1:19" ht="17.25" customHeight="1" x14ac:dyDescent="0.3">
      <c r="A1" s="1"/>
      <c r="B1" s="7" t="s">
        <v>84</v>
      </c>
      <c r="C1" s="2"/>
      <c r="G1" s="6"/>
      <c r="H1" s="6"/>
      <c r="I1" s="6"/>
      <c r="J1" s="7" t="s">
        <v>11</v>
      </c>
      <c r="K1" s="7"/>
      <c r="L1" s="7"/>
      <c r="M1" s="7"/>
    </row>
    <row r="2" spans="1:19" ht="19.5" customHeight="1" x14ac:dyDescent="0.3">
      <c r="A2" s="2"/>
      <c r="B2" s="97" t="s">
        <v>12</v>
      </c>
      <c r="C2" s="97"/>
      <c r="D2" s="97"/>
      <c r="E2" s="97"/>
      <c r="F2" s="97"/>
      <c r="G2" s="6"/>
      <c r="H2" s="6"/>
      <c r="I2" s="6"/>
      <c r="J2" s="31" t="s">
        <v>91</v>
      </c>
      <c r="K2" s="32"/>
      <c r="L2" s="32"/>
      <c r="M2" s="32"/>
      <c r="N2" s="30"/>
      <c r="O2" s="30"/>
      <c r="P2" s="30"/>
    </row>
    <row r="3" spans="1:19" ht="30" customHeight="1" x14ac:dyDescent="0.3">
      <c r="A3" s="2"/>
      <c r="B3" s="97"/>
      <c r="C3" s="97"/>
      <c r="D3" s="97"/>
      <c r="E3" s="97"/>
      <c r="F3" s="97"/>
      <c r="G3" s="6"/>
      <c r="H3" s="6"/>
      <c r="I3" s="6"/>
      <c r="J3" s="94" t="s">
        <v>92</v>
      </c>
      <c r="K3" s="94"/>
      <c r="L3" s="94"/>
      <c r="M3" s="94"/>
      <c r="N3" s="94"/>
      <c r="O3" s="94"/>
      <c r="P3" s="94"/>
    </row>
    <row r="4" spans="1:19" ht="27" customHeight="1" x14ac:dyDescent="0.3">
      <c r="A4" s="2"/>
      <c r="B4" s="2"/>
      <c r="C4" s="2"/>
      <c r="G4" s="6"/>
      <c r="H4" s="6"/>
      <c r="I4" s="6"/>
      <c r="J4" s="93" t="s">
        <v>86</v>
      </c>
      <c r="K4" s="93"/>
      <c r="L4" s="93"/>
      <c r="M4" s="93"/>
      <c r="N4" s="93"/>
      <c r="O4" s="93"/>
      <c r="P4" s="93"/>
    </row>
    <row r="5" spans="1:19" ht="21" customHeight="1" x14ac:dyDescent="0.3">
      <c r="B5" s="95" t="s">
        <v>16</v>
      </c>
      <c r="C5" s="95"/>
      <c r="D5" s="95"/>
      <c r="E5" s="95"/>
      <c r="F5" s="95"/>
      <c r="G5" s="95"/>
      <c r="H5" s="95"/>
      <c r="I5" s="6"/>
      <c r="J5" s="95" t="s">
        <v>85</v>
      </c>
      <c r="K5" s="95"/>
      <c r="L5" s="95"/>
      <c r="M5" s="95"/>
      <c r="N5" s="95"/>
      <c r="O5" s="95"/>
      <c r="P5" s="95"/>
    </row>
    <row r="6" spans="1:19" ht="20.25" customHeight="1" x14ac:dyDescent="0.3">
      <c r="B6" s="98" t="s">
        <v>13</v>
      </c>
      <c r="C6" s="98"/>
      <c r="D6" s="98"/>
      <c r="E6" s="98"/>
      <c r="F6" s="98"/>
      <c r="G6" s="98"/>
      <c r="I6" s="13"/>
      <c r="J6" s="13"/>
      <c r="K6" s="6"/>
      <c r="L6" s="6"/>
      <c r="M6" s="6"/>
    </row>
    <row r="7" spans="1:19" ht="3.75" customHeight="1" x14ac:dyDescent="0.3">
      <c r="G7" s="13"/>
      <c r="H7" s="13"/>
      <c r="I7" s="13"/>
      <c r="J7" s="13"/>
      <c r="K7" s="6"/>
      <c r="M7" s="6"/>
      <c r="N7" s="6"/>
      <c r="O7" s="6"/>
    </row>
    <row r="8" spans="1:19" ht="19.5" customHeight="1" x14ac:dyDescent="0.3">
      <c r="A8" s="96" t="s">
        <v>0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12"/>
      <c r="N8" s="12"/>
      <c r="O8" s="12"/>
      <c r="P8" s="12"/>
      <c r="Q8" s="12"/>
      <c r="R8" s="12"/>
    </row>
    <row r="9" spans="1:19" s="45" customFormat="1" ht="21.75" customHeight="1" x14ac:dyDescent="0.35">
      <c r="A9" s="77" t="s">
        <v>43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44"/>
      <c r="N9" s="44"/>
      <c r="O9" s="44"/>
      <c r="P9" s="44"/>
      <c r="Q9" s="44"/>
      <c r="R9" s="44"/>
      <c r="S9" s="44"/>
    </row>
    <row r="10" spans="1:19" s="45" customFormat="1" ht="19.5" customHeight="1" x14ac:dyDescent="0.35">
      <c r="A10" s="77" t="s">
        <v>14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44"/>
      <c r="N10" s="44"/>
      <c r="O10" s="44"/>
      <c r="P10" s="44"/>
      <c r="Q10" s="44"/>
      <c r="R10" s="44"/>
      <c r="S10" s="44"/>
    </row>
    <row r="11" spans="1:19" s="42" customFormat="1" ht="20.25" customHeight="1" x14ac:dyDescent="0.3">
      <c r="A11" s="78" t="s">
        <v>90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1:19" ht="12.75" customHeight="1" x14ac:dyDescent="0.3">
      <c r="A12" s="84" t="s">
        <v>1</v>
      </c>
      <c r="B12" s="88" t="s">
        <v>28</v>
      </c>
      <c r="C12" s="88" t="s">
        <v>39</v>
      </c>
      <c r="D12" s="88" t="s">
        <v>41</v>
      </c>
      <c r="E12" s="88" t="s">
        <v>42</v>
      </c>
      <c r="F12" s="91" t="s">
        <v>2</v>
      </c>
      <c r="G12" s="92"/>
      <c r="H12" s="92"/>
      <c r="I12" s="92"/>
      <c r="J12" s="92"/>
      <c r="K12" s="75" t="s">
        <v>15</v>
      </c>
      <c r="L12" s="86" t="s">
        <v>29</v>
      </c>
    </row>
    <row r="13" spans="1:19" ht="73.5" customHeight="1" x14ac:dyDescent="0.3">
      <c r="A13" s="85"/>
      <c r="B13" s="89"/>
      <c r="C13" s="89"/>
      <c r="D13" s="89"/>
      <c r="E13" s="99"/>
      <c r="F13" s="11" t="s">
        <v>38</v>
      </c>
      <c r="G13" s="11" t="s">
        <v>3</v>
      </c>
      <c r="H13" s="11" t="s">
        <v>38</v>
      </c>
      <c r="I13" s="11" t="s">
        <v>19</v>
      </c>
      <c r="J13" s="11" t="s">
        <v>89</v>
      </c>
      <c r="K13" s="11" t="s">
        <v>22</v>
      </c>
      <c r="L13" s="87"/>
    </row>
    <row r="14" spans="1:19" ht="13.5" customHeight="1" x14ac:dyDescent="0.3">
      <c r="A14" s="82" t="s">
        <v>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83"/>
    </row>
    <row r="15" spans="1:19" ht="18" customHeight="1" x14ac:dyDescent="0.3">
      <c r="A15" s="14">
        <v>1</v>
      </c>
      <c r="B15" s="34" t="s">
        <v>5</v>
      </c>
      <c r="C15" s="14">
        <v>1</v>
      </c>
      <c r="D15" s="15">
        <v>18198</v>
      </c>
      <c r="E15" s="15">
        <f t="shared" ref="E15:E22" si="0">D15*C15</f>
        <v>18198</v>
      </c>
      <c r="F15" s="43">
        <v>20</v>
      </c>
      <c r="G15" s="15">
        <f>E15*F15/100</f>
        <v>3639.6</v>
      </c>
      <c r="H15" s="43">
        <v>30</v>
      </c>
      <c r="I15" s="15">
        <f>E15*H15/100</f>
        <v>5459.4</v>
      </c>
      <c r="J15" s="15"/>
      <c r="K15" s="15"/>
      <c r="L15" s="15">
        <f>E15+G15+I15+K15+J15</f>
        <v>27297</v>
      </c>
    </row>
    <row r="16" spans="1:19" ht="41.25" customHeight="1" x14ac:dyDescent="0.3">
      <c r="A16" s="14">
        <v>2</v>
      </c>
      <c r="B16" s="35" t="s">
        <v>44</v>
      </c>
      <c r="C16" s="14">
        <v>1</v>
      </c>
      <c r="D16" s="15">
        <f>D15*0.95</f>
        <v>17288.099999999999</v>
      </c>
      <c r="E16" s="15">
        <f t="shared" si="0"/>
        <v>17288.099999999999</v>
      </c>
      <c r="F16" s="43">
        <v>20</v>
      </c>
      <c r="G16" s="15">
        <f t="shared" ref="G16:G22" si="1">E16*F16/100</f>
        <v>3457.62</v>
      </c>
      <c r="H16" s="43">
        <v>30</v>
      </c>
      <c r="I16" s="15">
        <f t="shared" ref="I16:I22" si="2">E16*H16/100</f>
        <v>5186.4299999999994</v>
      </c>
      <c r="J16" s="15">
        <f>D16*0.1</f>
        <v>1728.81</v>
      </c>
      <c r="K16" s="15"/>
      <c r="L16" s="15">
        <f>E16+G16+I16+K16+J16</f>
        <v>27660.959999999999</v>
      </c>
    </row>
    <row r="17" spans="1:18" ht="38.25" customHeight="1" x14ac:dyDescent="0.3">
      <c r="A17" s="14">
        <v>3</v>
      </c>
      <c r="B17" s="35" t="s">
        <v>44</v>
      </c>
      <c r="C17" s="14">
        <v>0.5</v>
      </c>
      <c r="D17" s="15">
        <f>D16</f>
        <v>17288.099999999999</v>
      </c>
      <c r="E17" s="15">
        <f t="shared" si="0"/>
        <v>8644.0499999999993</v>
      </c>
      <c r="F17" s="43">
        <v>20</v>
      </c>
      <c r="G17" s="15">
        <f t="shared" si="1"/>
        <v>1728.81</v>
      </c>
      <c r="H17" s="43">
        <v>30</v>
      </c>
      <c r="I17" s="15">
        <f t="shared" si="2"/>
        <v>2593.2149999999997</v>
      </c>
      <c r="J17" s="15"/>
      <c r="K17" s="15"/>
      <c r="L17" s="15">
        <f t="shared" ref="L17:L21" si="3">E17+G17+I17+K17+J17</f>
        <v>12966.074999999999</v>
      </c>
    </row>
    <row r="18" spans="1:18" ht="20.100000000000001" customHeight="1" x14ac:dyDescent="0.3">
      <c r="A18" s="14">
        <v>4</v>
      </c>
      <c r="B18" s="35" t="s">
        <v>69</v>
      </c>
      <c r="C18" s="14">
        <v>0.5</v>
      </c>
      <c r="D18" s="15">
        <v>15020</v>
      </c>
      <c r="E18" s="15">
        <f t="shared" si="0"/>
        <v>7510</v>
      </c>
      <c r="F18" s="43">
        <v>20</v>
      </c>
      <c r="G18" s="15">
        <f t="shared" si="1"/>
        <v>1502</v>
      </c>
      <c r="H18" s="43">
        <v>30</v>
      </c>
      <c r="I18" s="15">
        <f t="shared" si="2"/>
        <v>2253</v>
      </c>
      <c r="J18" s="15"/>
      <c r="K18" s="15"/>
      <c r="L18" s="15">
        <f t="shared" si="3"/>
        <v>11265</v>
      </c>
    </row>
    <row r="19" spans="1:18" ht="20.100000000000001" customHeight="1" x14ac:dyDescent="0.3">
      <c r="A19" s="14">
        <v>4</v>
      </c>
      <c r="B19" s="35" t="s">
        <v>87</v>
      </c>
      <c r="C19" s="14">
        <v>0.5</v>
      </c>
      <c r="D19" s="15">
        <v>14154</v>
      </c>
      <c r="E19" s="15">
        <f t="shared" si="0"/>
        <v>7077</v>
      </c>
      <c r="F19" s="43">
        <v>20</v>
      </c>
      <c r="G19" s="15">
        <f t="shared" si="1"/>
        <v>1415.4</v>
      </c>
      <c r="H19" s="43">
        <v>20</v>
      </c>
      <c r="I19" s="15">
        <f t="shared" si="2"/>
        <v>1415.4</v>
      </c>
      <c r="J19" s="15"/>
      <c r="K19" s="15"/>
      <c r="L19" s="15">
        <f t="shared" si="3"/>
        <v>9907.7999999999993</v>
      </c>
    </row>
    <row r="20" spans="1:18" ht="20.100000000000001" customHeight="1" x14ac:dyDescent="0.3">
      <c r="A20" s="14">
        <v>5</v>
      </c>
      <c r="B20" s="35" t="s">
        <v>83</v>
      </c>
      <c r="C20" s="14">
        <v>0.25</v>
      </c>
      <c r="D20" s="15">
        <v>14731</v>
      </c>
      <c r="E20" s="15">
        <f t="shared" si="0"/>
        <v>3682.75</v>
      </c>
      <c r="F20" s="43">
        <v>20</v>
      </c>
      <c r="G20" s="15">
        <f t="shared" si="1"/>
        <v>736.55</v>
      </c>
      <c r="H20" s="43">
        <v>20</v>
      </c>
      <c r="I20" s="15">
        <f t="shared" si="2"/>
        <v>736.55</v>
      </c>
      <c r="J20" s="15"/>
      <c r="K20" s="15"/>
      <c r="L20" s="15">
        <f t="shared" si="3"/>
        <v>5155.8500000000004</v>
      </c>
    </row>
    <row r="21" spans="1:18" ht="20.100000000000001" customHeight="1" x14ac:dyDescent="0.3">
      <c r="A21" s="14">
        <v>6</v>
      </c>
      <c r="B21" s="35" t="s">
        <v>88</v>
      </c>
      <c r="C21" s="14">
        <v>0.25</v>
      </c>
      <c r="D21" s="15">
        <v>14154</v>
      </c>
      <c r="E21" s="15">
        <f t="shared" si="0"/>
        <v>3538.5</v>
      </c>
      <c r="F21" s="43">
        <v>20</v>
      </c>
      <c r="G21" s="15">
        <f t="shared" si="1"/>
        <v>707.7</v>
      </c>
      <c r="H21" s="43">
        <v>20</v>
      </c>
      <c r="I21" s="15">
        <f t="shared" si="2"/>
        <v>707.7</v>
      </c>
      <c r="J21" s="15"/>
      <c r="K21" s="15"/>
      <c r="L21" s="15">
        <f t="shared" si="3"/>
        <v>4953.8999999999996</v>
      </c>
    </row>
    <row r="22" spans="1:18" ht="20.100000000000001" customHeight="1" x14ac:dyDescent="0.3">
      <c r="A22" s="14">
        <v>7</v>
      </c>
      <c r="B22" s="35" t="s">
        <v>32</v>
      </c>
      <c r="C22" s="14">
        <v>1</v>
      </c>
      <c r="D22" s="15">
        <v>14731</v>
      </c>
      <c r="E22" s="15">
        <f t="shared" si="0"/>
        <v>14731</v>
      </c>
      <c r="F22" s="43">
        <v>20</v>
      </c>
      <c r="G22" s="15">
        <f t="shared" si="1"/>
        <v>2946.2</v>
      </c>
      <c r="H22" s="43">
        <v>10</v>
      </c>
      <c r="I22" s="15">
        <f t="shared" si="2"/>
        <v>1473.1</v>
      </c>
      <c r="J22" s="15"/>
      <c r="K22" s="15">
        <f>D22*0.2</f>
        <v>2946.2000000000003</v>
      </c>
      <c r="L22" s="15">
        <f>E22+G22+I22+K22+J22</f>
        <v>22096.5</v>
      </c>
    </row>
    <row r="23" spans="1:18" ht="14.25" customHeight="1" x14ac:dyDescent="0.3">
      <c r="A23" s="82" t="s">
        <v>45</v>
      </c>
      <c r="B23" s="83"/>
      <c r="C23" s="38">
        <f>SUM(C15:C22)</f>
        <v>5</v>
      </c>
      <c r="D23" s="40" t="s">
        <v>37</v>
      </c>
      <c r="E23" s="38">
        <f>SUM(E15:E22)</f>
        <v>80669.399999999994</v>
      </c>
      <c r="F23" s="38"/>
      <c r="G23" s="38">
        <f>SUM(G15:G22)</f>
        <v>16133.879999999997</v>
      </c>
      <c r="H23" s="38"/>
      <c r="I23" s="38">
        <f t="shared" ref="I23:K23" si="4">SUM(I15:I22)</f>
        <v>19824.794999999998</v>
      </c>
      <c r="J23" s="38">
        <f t="shared" si="4"/>
        <v>1728.81</v>
      </c>
      <c r="K23" s="38">
        <f t="shared" si="4"/>
        <v>2946.2000000000003</v>
      </c>
      <c r="L23" s="38">
        <f>SUM(L15:L22)</f>
        <v>121303.08500000001</v>
      </c>
      <c r="N23" s="5"/>
    </row>
    <row r="24" spans="1:18" hidden="1" x14ac:dyDescent="0.3">
      <c r="A24" s="17" t="s">
        <v>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8" hidden="1" x14ac:dyDescent="0.3">
      <c r="A25" s="33">
        <v>1</v>
      </c>
      <c r="B25" s="20" t="s">
        <v>23</v>
      </c>
      <c r="C25" s="20"/>
      <c r="D25" s="21">
        <v>8471.2099999999991</v>
      </c>
      <c r="E25" s="21">
        <f>D25*C25</f>
        <v>0</v>
      </c>
      <c r="F25" s="21"/>
      <c r="G25" s="22"/>
      <c r="H25" s="22"/>
      <c r="I25" s="22"/>
      <c r="J25" s="22"/>
      <c r="K25" s="22"/>
      <c r="L25" s="22">
        <f>SUM(E25:K25)</f>
        <v>0</v>
      </c>
    </row>
    <row r="26" spans="1:18" ht="15" hidden="1" customHeight="1" x14ac:dyDescent="0.3">
      <c r="A26" s="14">
        <v>2</v>
      </c>
      <c r="B26" s="14" t="s">
        <v>33</v>
      </c>
      <c r="C26" s="22"/>
      <c r="D26" s="15">
        <v>7701.1</v>
      </c>
      <c r="E26" s="15">
        <f>D26*C26</f>
        <v>0</v>
      </c>
      <c r="F26" s="15"/>
      <c r="G26" s="15"/>
      <c r="H26" s="15"/>
      <c r="I26" s="15"/>
      <c r="J26" s="15"/>
      <c r="K26" s="15"/>
      <c r="L26" s="22">
        <f>SUM(E26:K26)</f>
        <v>0</v>
      </c>
    </row>
    <row r="27" spans="1:18" ht="17.25" hidden="1" customHeight="1" x14ac:dyDescent="0.3">
      <c r="A27" s="14">
        <v>3</v>
      </c>
      <c r="B27" s="14" t="s">
        <v>34</v>
      </c>
      <c r="C27" s="22"/>
      <c r="D27" s="15">
        <v>7223.7</v>
      </c>
      <c r="E27" s="15">
        <f>D27*C27</f>
        <v>0</v>
      </c>
      <c r="F27" s="15"/>
      <c r="G27" s="15"/>
      <c r="H27" s="15"/>
      <c r="I27" s="15"/>
      <c r="J27" s="15"/>
      <c r="K27" s="15"/>
      <c r="L27" s="22">
        <f>SUM(E27:K27)</f>
        <v>0</v>
      </c>
    </row>
    <row r="28" spans="1:18" ht="14.25" hidden="1" customHeight="1" x14ac:dyDescent="0.3">
      <c r="A28" s="14">
        <v>4</v>
      </c>
      <c r="B28" s="14" t="s">
        <v>35</v>
      </c>
      <c r="C28" s="22"/>
      <c r="D28" s="15">
        <v>6746.3</v>
      </c>
      <c r="E28" s="15">
        <f>D28*C28</f>
        <v>0</v>
      </c>
      <c r="F28" s="15"/>
      <c r="G28" s="15"/>
      <c r="H28" s="15"/>
      <c r="I28" s="15"/>
      <c r="J28" s="15"/>
      <c r="K28" s="15"/>
      <c r="L28" s="22">
        <f>SUM(E28:K28)</f>
        <v>0</v>
      </c>
    </row>
    <row r="29" spans="1:18" ht="13.5" hidden="1" customHeight="1" x14ac:dyDescent="0.3">
      <c r="A29" s="14">
        <v>5</v>
      </c>
      <c r="B29" s="14" t="s">
        <v>36</v>
      </c>
      <c r="C29" s="22"/>
      <c r="D29" s="15">
        <v>6268.9</v>
      </c>
      <c r="E29" s="15">
        <f>D29*C29</f>
        <v>0</v>
      </c>
      <c r="F29" s="15"/>
      <c r="G29" s="15"/>
      <c r="H29" s="15"/>
      <c r="I29" s="15"/>
      <c r="J29" s="15"/>
      <c r="K29" s="15"/>
      <c r="L29" s="22">
        <f>SUM(E29:K29)</f>
        <v>0</v>
      </c>
    </row>
    <row r="30" spans="1:18" ht="19.5" hidden="1" customHeight="1" x14ac:dyDescent="0.3">
      <c r="A30" s="79" t="s">
        <v>18</v>
      </c>
      <c r="B30" s="80"/>
      <c r="C30" s="16">
        <f>C25+C26+C27+C28+C29</f>
        <v>0</v>
      </c>
      <c r="D30" s="36" t="s">
        <v>37</v>
      </c>
      <c r="E30" s="23">
        <f>SUM(E25:E29)</f>
        <v>0</v>
      </c>
      <c r="F30" s="23"/>
      <c r="G30" s="24">
        <f>SUM(G25:G29)</f>
        <v>0</v>
      </c>
      <c r="H30" s="24"/>
      <c r="I30" s="24">
        <f t="shared" ref="I30:L30" si="5">SUM(I25:I29)</f>
        <v>0</v>
      </c>
      <c r="J30" s="24">
        <f t="shared" si="5"/>
        <v>0</v>
      </c>
      <c r="K30" s="24">
        <f t="shared" si="5"/>
        <v>0</v>
      </c>
      <c r="L30" s="24">
        <f t="shared" si="5"/>
        <v>0</v>
      </c>
    </row>
    <row r="31" spans="1:18" ht="18.75" hidden="1" customHeight="1" x14ac:dyDescent="0.3">
      <c r="A31" s="79" t="s">
        <v>17</v>
      </c>
      <c r="B31" s="80"/>
      <c r="C31" s="16" t="e">
        <f>C30+C23+#REF!</f>
        <v>#REF!</v>
      </c>
      <c r="D31" s="36" t="s">
        <v>37</v>
      </c>
      <c r="E31" s="23" t="e">
        <f>E30+E23+#REF!</f>
        <v>#REF!</v>
      </c>
      <c r="F31" s="23"/>
      <c r="G31" s="23" t="e">
        <f>G30+G23+#REF!</f>
        <v>#REF!</v>
      </c>
      <c r="H31" s="23"/>
      <c r="I31" s="23" t="e">
        <f>I30+I23+#REF!</f>
        <v>#REF!</v>
      </c>
      <c r="J31" s="23" t="e">
        <f>J30+J23+#REF!</f>
        <v>#REF!</v>
      </c>
      <c r="K31" s="23" t="e">
        <f>K30+K23+#REF!</f>
        <v>#REF!</v>
      </c>
      <c r="L31" s="23" t="e">
        <f>L30+L23+#REF!</f>
        <v>#REF!</v>
      </c>
    </row>
    <row r="32" spans="1:18" s="10" customFormat="1" ht="23.25" hidden="1" customHeight="1" x14ac:dyDescent="0.3">
      <c r="A32" s="25"/>
      <c r="B32" s="25"/>
      <c r="C32" s="26"/>
      <c r="D32" s="27"/>
      <c r="E32" s="27"/>
      <c r="F32" s="27"/>
      <c r="G32" s="26"/>
      <c r="H32" s="26"/>
      <c r="I32" s="26"/>
      <c r="J32" s="28"/>
      <c r="K32" s="28"/>
      <c r="L32" s="26"/>
      <c r="M32" s="9"/>
      <c r="N32" s="9"/>
      <c r="O32" s="9"/>
      <c r="P32" s="9"/>
      <c r="Q32" s="9"/>
      <c r="R32" s="8"/>
    </row>
    <row r="33" spans="1:19" hidden="1" x14ac:dyDescent="0.3">
      <c r="A33" s="29"/>
      <c r="B33" s="29"/>
      <c r="C33" s="29"/>
      <c r="D33" s="29" t="s">
        <v>5</v>
      </c>
      <c r="E33" s="29"/>
      <c r="F33" s="29"/>
      <c r="G33" s="29"/>
      <c r="H33" s="29"/>
      <c r="I33" s="29" t="s">
        <v>7</v>
      </c>
      <c r="J33" s="29"/>
      <c r="K33" s="76" t="s">
        <v>24</v>
      </c>
      <c r="L33" s="76"/>
      <c r="R33" s="3"/>
    </row>
    <row r="34" spans="1:19" ht="21.75" hidden="1" customHeight="1" x14ac:dyDescent="0.3">
      <c r="A34" s="29"/>
      <c r="B34" s="29" t="s">
        <v>8</v>
      </c>
      <c r="C34" s="81" t="s">
        <v>9</v>
      </c>
      <c r="D34" s="81"/>
      <c r="E34" s="81"/>
      <c r="F34" s="81"/>
      <c r="G34" s="81"/>
      <c r="H34" s="41"/>
      <c r="I34" s="29" t="s">
        <v>7</v>
      </c>
      <c r="J34" s="29"/>
      <c r="K34" s="76" t="s">
        <v>25</v>
      </c>
      <c r="L34" s="76"/>
      <c r="S34" s="3"/>
    </row>
    <row r="35" spans="1:19" x14ac:dyDescent="0.3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R35" s="5"/>
      <c r="S35" s="3"/>
    </row>
    <row r="36" spans="1:19" x14ac:dyDescent="0.3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S36" s="3"/>
    </row>
    <row r="37" spans="1:19" ht="35.25" customHeight="1" x14ac:dyDescent="0.3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S37" s="3"/>
    </row>
    <row r="38" spans="1:19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S38" s="3"/>
    </row>
    <row r="39" spans="1:19" x14ac:dyDescent="0.3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S39" s="3"/>
    </row>
    <row r="40" spans="1:19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S40" s="3"/>
    </row>
    <row r="41" spans="1:19" ht="45.75" customHeight="1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S41" s="3"/>
    </row>
    <row r="42" spans="1:19" ht="13.5" customHeight="1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S42" s="3"/>
    </row>
    <row r="43" spans="1:19" ht="15" customHeight="1" x14ac:dyDescent="0.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S43" s="8"/>
    </row>
    <row r="45" spans="1:19" ht="12.75" customHeight="1" x14ac:dyDescent="0.3"/>
    <row r="46" spans="1:19" ht="12.75" customHeight="1" x14ac:dyDescent="0.3"/>
    <row r="47" spans="1:19" ht="12.75" customHeight="1" x14ac:dyDescent="0.3"/>
    <row r="48" spans="1:19" ht="13.5" customHeight="1" x14ac:dyDescent="0.3"/>
    <row r="49" spans="19:19" ht="15.75" customHeight="1" x14ac:dyDescent="0.3"/>
    <row r="50" spans="19:19" ht="21" customHeight="1" x14ac:dyDescent="0.3"/>
    <row r="51" spans="19:19" x14ac:dyDescent="0.3">
      <c r="S51" s="4"/>
    </row>
    <row r="52" spans="19:19" x14ac:dyDescent="0.3">
      <c r="S52" s="4"/>
    </row>
    <row r="54" spans="19:19" x14ac:dyDescent="0.3">
      <c r="S54" s="4"/>
    </row>
  </sheetData>
  <mergeCells count="24">
    <mergeCell ref="J4:P4"/>
    <mergeCell ref="J3:P3"/>
    <mergeCell ref="J5:P5"/>
    <mergeCell ref="A8:L8"/>
    <mergeCell ref="D12:D13"/>
    <mergeCell ref="B2:F3"/>
    <mergeCell ref="B5:H5"/>
    <mergeCell ref="B6:G6"/>
    <mergeCell ref="E12:E13"/>
    <mergeCell ref="K33:L33"/>
    <mergeCell ref="K34:L34"/>
    <mergeCell ref="A9:L9"/>
    <mergeCell ref="A10:L10"/>
    <mergeCell ref="A11:L11"/>
    <mergeCell ref="A31:B31"/>
    <mergeCell ref="C34:G34"/>
    <mergeCell ref="A23:B23"/>
    <mergeCell ref="A30:B30"/>
    <mergeCell ref="A12:A13"/>
    <mergeCell ref="L12:L13"/>
    <mergeCell ref="B12:B13"/>
    <mergeCell ref="C12:C13"/>
    <mergeCell ref="A14:L14"/>
    <mergeCell ref="F12:J12"/>
  </mergeCells>
  <pageMargins left="0.98425196850393704" right="0" top="0.59055118110236227" bottom="0" header="0" footer="0"/>
  <pageSetup paperSize="9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"/>
  <sheetViews>
    <sheetView topLeftCell="A29" workbookViewId="0">
      <selection activeCell="K52" sqref="K52"/>
    </sheetView>
  </sheetViews>
  <sheetFormatPr defaultRowHeight="14.4" outlineLevelRow="2" x14ac:dyDescent="0.3"/>
  <cols>
    <col min="1" max="1" width="3.109375" customWidth="1"/>
    <col min="2" max="2" width="25.5546875" customWidth="1"/>
    <col min="3" max="3" width="5.44140625" customWidth="1"/>
    <col min="4" max="4" width="3.88671875" customWidth="1"/>
    <col min="5" max="5" width="9" customWidth="1"/>
    <col min="6" max="6" width="8.33203125" customWidth="1"/>
    <col min="7" max="7" width="3" customWidth="1"/>
    <col min="8" max="8" width="7.109375" customWidth="1"/>
    <col min="9" max="9" width="3.109375" customWidth="1"/>
    <col min="10" max="10" width="7.44140625" customWidth="1"/>
    <col min="11" max="11" width="7.5546875" customWidth="1"/>
    <col min="12" max="12" width="6.6640625" customWidth="1"/>
    <col min="13" max="13" width="7" customWidth="1"/>
    <col min="14" max="14" width="6.5546875" customWidth="1"/>
    <col min="15" max="15" width="8.109375" customWidth="1"/>
    <col min="16" max="16" width="6.88671875" customWidth="1"/>
    <col min="17" max="17" width="9.44140625" customWidth="1"/>
    <col min="18" max="18" width="6.33203125" customWidth="1"/>
    <col min="19" max="19" width="11.88671875" customWidth="1"/>
    <col min="20" max="20" width="5.44140625" customWidth="1"/>
    <col min="21" max="21" width="6.33203125" customWidth="1"/>
    <col min="22" max="22" width="6.88671875" customWidth="1"/>
    <col min="23" max="23" width="10.5546875" customWidth="1"/>
    <col min="24" max="24" width="9.109375" customWidth="1"/>
  </cols>
  <sheetData>
    <row r="1" spans="1:19" ht="12.75" customHeight="1" x14ac:dyDescent="0.3">
      <c r="A1" s="84" t="s">
        <v>1</v>
      </c>
      <c r="B1" s="88" t="s">
        <v>28</v>
      </c>
      <c r="C1" s="88" t="s">
        <v>39</v>
      </c>
      <c r="D1" s="88" t="s">
        <v>40</v>
      </c>
      <c r="E1" s="88" t="s">
        <v>41</v>
      </c>
      <c r="F1" s="88" t="s">
        <v>42</v>
      </c>
      <c r="G1" s="91" t="s">
        <v>2</v>
      </c>
      <c r="H1" s="92"/>
      <c r="I1" s="92"/>
      <c r="J1" s="92"/>
      <c r="K1" s="92"/>
      <c r="L1" s="100"/>
      <c r="M1" s="101" t="s">
        <v>15</v>
      </c>
      <c r="N1" s="102"/>
      <c r="O1" s="102"/>
      <c r="P1" s="103"/>
      <c r="Q1" s="86" t="s">
        <v>29</v>
      </c>
    </row>
    <row r="2" spans="1:19" ht="73.5" customHeight="1" x14ac:dyDescent="0.3">
      <c r="A2" s="85"/>
      <c r="B2" s="89"/>
      <c r="C2" s="89"/>
      <c r="D2" s="89"/>
      <c r="E2" s="89"/>
      <c r="F2" s="99"/>
      <c r="G2" s="11" t="s">
        <v>38</v>
      </c>
      <c r="H2" s="11" t="s">
        <v>3</v>
      </c>
      <c r="I2" s="11" t="s">
        <v>38</v>
      </c>
      <c r="J2" s="11" t="s">
        <v>19</v>
      </c>
      <c r="K2" s="11" t="s">
        <v>26</v>
      </c>
      <c r="L2" s="11" t="s">
        <v>27</v>
      </c>
      <c r="M2" s="11" t="s">
        <v>20</v>
      </c>
      <c r="N2" s="11" t="s">
        <v>21</v>
      </c>
      <c r="O2" s="11" t="s">
        <v>22</v>
      </c>
      <c r="P2" s="11" t="s">
        <v>10</v>
      </c>
      <c r="Q2" s="87"/>
    </row>
    <row r="3" spans="1:19" ht="13.5" customHeight="1" x14ac:dyDescent="0.3">
      <c r="A3" s="82" t="s">
        <v>4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83"/>
    </row>
    <row r="4" spans="1:19" ht="18" customHeight="1" x14ac:dyDescent="0.3">
      <c r="A4" s="14">
        <v>3</v>
      </c>
      <c r="B4" s="35" t="s">
        <v>75</v>
      </c>
      <c r="C4" s="14">
        <v>0.5</v>
      </c>
      <c r="D4" s="14">
        <v>10</v>
      </c>
      <c r="E4" s="15">
        <v>6396.5</v>
      </c>
      <c r="F4" s="51">
        <f t="shared" ref="F4:F9" si="0">E4*C4</f>
        <v>3198.25</v>
      </c>
      <c r="G4" s="43">
        <v>5</v>
      </c>
      <c r="H4" s="15">
        <f t="shared" ref="H4:H9" si="1">F4*G4/100</f>
        <v>159.91249999999999</v>
      </c>
      <c r="I4" s="43">
        <v>10</v>
      </c>
      <c r="J4" s="15">
        <f t="shared" ref="J4:J9" si="2">F4*I4/100</f>
        <v>319.82499999999999</v>
      </c>
      <c r="K4" s="15"/>
      <c r="L4" s="15"/>
      <c r="M4" s="15"/>
      <c r="N4" s="15"/>
      <c r="O4" s="15"/>
      <c r="P4" s="15"/>
      <c r="Q4" s="15">
        <f>F4+H4+J4</f>
        <v>3677.9874999999997</v>
      </c>
      <c r="S4" s="70" t="e">
        <f>Q4+Q5+Q6+Q7+Q8+Q11+Q12+Q13+Q14+Q17+Q15+Q18+Q19+Q22+Q23+Q24+Q25+Q26+Q28+Q29+Q30+Q31+Q32+#REF!+Q34+Q35+Q37+Q38+Q39+Q9+Q21</f>
        <v>#REF!</v>
      </c>
    </row>
    <row r="5" spans="1:19" ht="41.25" customHeight="1" outlineLevel="2" x14ac:dyDescent="0.3">
      <c r="A5" s="14">
        <v>5</v>
      </c>
      <c r="B5" s="35" t="s">
        <v>32</v>
      </c>
      <c r="C5" s="14">
        <v>1</v>
      </c>
      <c r="D5" s="14">
        <v>10</v>
      </c>
      <c r="E5" s="15">
        <v>6396.5</v>
      </c>
      <c r="F5" s="51">
        <f t="shared" si="0"/>
        <v>6396.5</v>
      </c>
      <c r="G5" s="43">
        <v>5</v>
      </c>
      <c r="H5" s="15">
        <f t="shared" si="1"/>
        <v>319.82499999999999</v>
      </c>
      <c r="I5" s="43">
        <v>30</v>
      </c>
      <c r="J5" s="15">
        <f t="shared" si="2"/>
        <v>1918.95</v>
      </c>
      <c r="K5" s="15"/>
      <c r="L5" s="15"/>
      <c r="M5" s="15"/>
      <c r="N5" s="15"/>
      <c r="O5" s="15">
        <f>F5*0.2</f>
        <v>1279.3000000000002</v>
      </c>
      <c r="P5" s="15"/>
      <c r="Q5" s="15">
        <f>F5+H5+J5+O5</f>
        <v>9914.5750000000007</v>
      </c>
    </row>
    <row r="6" spans="1:19" ht="38.25" customHeight="1" outlineLevel="2" x14ac:dyDescent="0.3">
      <c r="A6" s="14">
        <v>6</v>
      </c>
      <c r="B6" s="35" t="s">
        <v>32</v>
      </c>
      <c r="C6" s="14">
        <v>1</v>
      </c>
      <c r="D6" s="14">
        <v>10</v>
      </c>
      <c r="E6" s="15">
        <v>6396.5</v>
      </c>
      <c r="F6" s="51">
        <f t="shared" si="0"/>
        <v>6396.5</v>
      </c>
      <c r="G6" s="43">
        <v>5</v>
      </c>
      <c r="H6" s="15">
        <f t="shared" si="1"/>
        <v>319.82499999999999</v>
      </c>
      <c r="I6" s="43">
        <v>20</v>
      </c>
      <c r="J6" s="15">
        <f t="shared" si="2"/>
        <v>1279.3</v>
      </c>
      <c r="K6" s="15"/>
      <c r="L6" s="15"/>
      <c r="M6" s="15"/>
      <c r="N6" s="15"/>
      <c r="O6" s="15">
        <f>F6*0.2</f>
        <v>1279.3000000000002</v>
      </c>
      <c r="P6" s="15"/>
      <c r="Q6" s="15">
        <f>F6+H6+J6+O6</f>
        <v>9274.9249999999993</v>
      </c>
    </row>
    <row r="7" spans="1:19" ht="20.100000000000001" customHeight="1" outlineLevel="2" x14ac:dyDescent="0.3">
      <c r="A7" s="14">
        <v>7</v>
      </c>
      <c r="B7" s="35" t="s">
        <v>32</v>
      </c>
      <c r="C7" s="14">
        <v>1</v>
      </c>
      <c r="D7" s="14">
        <v>10</v>
      </c>
      <c r="E7" s="15">
        <v>6396.5</v>
      </c>
      <c r="F7" s="51">
        <f t="shared" si="0"/>
        <v>6396.5</v>
      </c>
      <c r="G7" s="43">
        <v>5</v>
      </c>
      <c r="H7" s="15">
        <f t="shared" si="1"/>
        <v>319.82499999999999</v>
      </c>
      <c r="I7" s="43">
        <v>10</v>
      </c>
      <c r="J7" s="15">
        <f t="shared" si="2"/>
        <v>639.65</v>
      </c>
      <c r="K7" s="15"/>
      <c r="L7" s="15"/>
      <c r="M7" s="15"/>
      <c r="N7" s="15"/>
      <c r="O7" s="15">
        <f>F7*0.2</f>
        <v>1279.3000000000002</v>
      </c>
      <c r="P7" s="15"/>
      <c r="Q7" s="15">
        <f>F7+H7+J7+O7</f>
        <v>8635.2749999999996</v>
      </c>
    </row>
    <row r="8" spans="1:19" ht="20.100000000000001" customHeight="1" outlineLevel="2" x14ac:dyDescent="0.3">
      <c r="A8" s="14">
        <v>8</v>
      </c>
      <c r="B8" s="35" t="s">
        <v>32</v>
      </c>
      <c r="C8" s="14">
        <v>1</v>
      </c>
      <c r="D8" s="14">
        <v>10</v>
      </c>
      <c r="E8" s="15">
        <v>6396.5</v>
      </c>
      <c r="F8" s="51">
        <f t="shared" si="0"/>
        <v>6396.5</v>
      </c>
      <c r="G8" s="43">
        <v>5</v>
      </c>
      <c r="H8" s="15">
        <f t="shared" si="1"/>
        <v>319.82499999999999</v>
      </c>
      <c r="I8" s="43">
        <v>0</v>
      </c>
      <c r="J8" s="15">
        <f t="shared" si="2"/>
        <v>0</v>
      </c>
      <c r="K8" s="15"/>
      <c r="L8" s="15"/>
      <c r="M8" s="15"/>
      <c r="N8" s="15"/>
      <c r="O8" s="15">
        <f>F8*0.2</f>
        <v>1279.3000000000002</v>
      </c>
      <c r="P8" s="15"/>
      <c r="Q8" s="15">
        <f>F8+H8+J8+O8</f>
        <v>7995.625</v>
      </c>
    </row>
    <row r="9" spans="1:19" ht="20.100000000000001" customHeight="1" outlineLevel="2" x14ac:dyDescent="0.3">
      <c r="A9" s="14">
        <v>7</v>
      </c>
      <c r="B9" s="35" t="s">
        <v>32</v>
      </c>
      <c r="C9" s="14">
        <v>1</v>
      </c>
      <c r="D9" s="14">
        <v>10</v>
      </c>
      <c r="E9" s="15">
        <v>6396.5</v>
      </c>
      <c r="F9" s="15">
        <f t="shared" si="0"/>
        <v>6396.5</v>
      </c>
      <c r="G9" s="43">
        <v>5</v>
      </c>
      <c r="H9" s="15">
        <f t="shared" si="1"/>
        <v>319.82499999999999</v>
      </c>
      <c r="I9" s="43">
        <v>10</v>
      </c>
      <c r="J9" s="15">
        <f t="shared" si="2"/>
        <v>639.65</v>
      </c>
      <c r="K9" s="15"/>
      <c r="L9" s="15"/>
      <c r="M9" s="15"/>
      <c r="N9" s="15"/>
      <c r="O9" s="15">
        <f>F9*0.2</f>
        <v>1279.3000000000002</v>
      </c>
      <c r="P9" s="15"/>
      <c r="Q9" s="15">
        <f>F9+H9+J9+O9</f>
        <v>8635.2749999999996</v>
      </c>
    </row>
    <row r="10" spans="1:19" s="62" customFormat="1" ht="20.100000000000001" customHeight="1" outlineLevel="1" x14ac:dyDescent="0.3">
      <c r="A10" s="57"/>
      <c r="B10" s="58"/>
      <c r="C10" s="57">
        <f>SUBTOTAL(9,C4:C9)</f>
        <v>5.5</v>
      </c>
      <c r="D10" s="59" t="s">
        <v>59</v>
      </c>
      <c r="E10" s="60"/>
      <c r="F10" s="60">
        <f>SUBTOTAL(9,F4:F9)</f>
        <v>35180.75</v>
      </c>
      <c r="G10" s="60">
        <f t="shared" ref="G10:Q10" si="3">SUBTOTAL(9,G4:G9)</f>
        <v>30</v>
      </c>
      <c r="H10" s="60">
        <f t="shared" si="3"/>
        <v>1759.0375000000001</v>
      </c>
      <c r="I10" s="60">
        <f t="shared" si="3"/>
        <v>80</v>
      </c>
      <c r="J10" s="60">
        <f t="shared" si="3"/>
        <v>4797.3749999999991</v>
      </c>
      <c r="K10" s="60">
        <f t="shared" si="3"/>
        <v>0</v>
      </c>
      <c r="L10" s="60">
        <f t="shared" si="3"/>
        <v>0</v>
      </c>
      <c r="M10" s="60">
        <f t="shared" si="3"/>
        <v>0</v>
      </c>
      <c r="N10" s="60">
        <f t="shared" si="3"/>
        <v>0</v>
      </c>
      <c r="O10" s="60">
        <f t="shared" si="3"/>
        <v>6396.5000000000009</v>
      </c>
      <c r="P10" s="60">
        <f t="shared" si="3"/>
        <v>0</v>
      </c>
      <c r="Q10" s="60">
        <f t="shared" si="3"/>
        <v>48133.662499999999</v>
      </c>
      <c r="S10" s="71">
        <f>Q10+Q16+Q20+Q27+Q33+Q36+Q40</f>
        <v>246441.309125</v>
      </c>
    </row>
    <row r="11" spans="1:19" ht="20.100000000000001" customHeight="1" outlineLevel="2" x14ac:dyDescent="0.3">
      <c r="A11" s="14">
        <v>8</v>
      </c>
      <c r="B11" s="35" t="s">
        <v>31</v>
      </c>
      <c r="C11" s="14">
        <v>0.5</v>
      </c>
      <c r="D11" s="14">
        <v>11</v>
      </c>
      <c r="E11" s="15">
        <v>6923.4</v>
      </c>
      <c r="F11" s="15">
        <f>E11*C11</f>
        <v>3461.7</v>
      </c>
      <c r="G11" s="43">
        <v>5</v>
      </c>
      <c r="H11" s="15">
        <f>F11*G11/100</f>
        <v>173.08500000000001</v>
      </c>
      <c r="I11" s="43"/>
      <c r="J11" s="15">
        <f>F11*I11/100</f>
        <v>0</v>
      </c>
      <c r="K11" s="15"/>
      <c r="L11" s="15"/>
      <c r="M11" s="15"/>
      <c r="N11" s="15"/>
      <c r="O11" s="15"/>
      <c r="P11" s="15"/>
      <c r="Q11" s="15">
        <f>F11+H11+J11</f>
        <v>3634.7849999999999</v>
      </c>
    </row>
    <row r="12" spans="1:19" ht="20.100000000000001" customHeight="1" outlineLevel="2" x14ac:dyDescent="0.3">
      <c r="A12" s="14">
        <v>6</v>
      </c>
      <c r="B12" s="35" t="s">
        <v>31</v>
      </c>
      <c r="C12" s="14">
        <v>0.5</v>
      </c>
      <c r="D12" s="14">
        <v>11</v>
      </c>
      <c r="E12" s="15">
        <v>6923.4</v>
      </c>
      <c r="F12" s="15">
        <f>E12*C12</f>
        <v>3461.7</v>
      </c>
      <c r="G12" s="43">
        <v>5</v>
      </c>
      <c r="H12" s="15">
        <f>F12*G12/100</f>
        <v>173.08500000000001</v>
      </c>
      <c r="I12" s="43"/>
      <c r="J12" s="15">
        <f>F12*I12/100</f>
        <v>0</v>
      </c>
      <c r="K12" s="15"/>
      <c r="L12" s="15"/>
      <c r="M12" s="15"/>
      <c r="N12" s="15"/>
      <c r="O12" s="15"/>
      <c r="P12" s="15"/>
      <c r="Q12" s="15">
        <f>F12+H12+J12</f>
        <v>3634.7849999999999</v>
      </c>
    </row>
    <row r="13" spans="1:19" ht="20.100000000000001" customHeight="1" outlineLevel="2" x14ac:dyDescent="0.3">
      <c r="A13" s="14">
        <v>4</v>
      </c>
      <c r="B13" s="35" t="s">
        <v>30</v>
      </c>
      <c r="C13" s="14">
        <v>0.25</v>
      </c>
      <c r="D13" s="14">
        <v>11</v>
      </c>
      <c r="E13" s="15">
        <v>6923.4</v>
      </c>
      <c r="F13" s="51">
        <f>E13*C13</f>
        <v>1730.85</v>
      </c>
      <c r="G13" s="43">
        <v>5</v>
      </c>
      <c r="H13" s="15">
        <f>F13*G13/100</f>
        <v>86.542500000000004</v>
      </c>
      <c r="I13" s="43">
        <v>20</v>
      </c>
      <c r="J13" s="15">
        <f>F13*I13/100</f>
        <v>346.17</v>
      </c>
      <c r="K13" s="15"/>
      <c r="L13" s="15"/>
      <c r="M13" s="15"/>
      <c r="N13" s="15"/>
      <c r="O13" s="15"/>
      <c r="P13" s="15"/>
      <c r="Q13" s="15">
        <f>F13+H13+J13</f>
        <v>2163.5625</v>
      </c>
    </row>
    <row r="14" spans="1:19" ht="18" customHeight="1" outlineLevel="2" x14ac:dyDescent="0.3">
      <c r="A14" s="14">
        <v>4</v>
      </c>
      <c r="B14" s="35" t="s">
        <v>30</v>
      </c>
      <c r="C14" s="14">
        <v>0.25</v>
      </c>
      <c r="D14" s="14">
        <v>11</v>
      </c>
      <c r="E14" s="15">
        <v>6923.4</v>
      </c>
      <c r="F14" s="15">
        <f>E14*C14</f>
        <v>1730.85</v>
      </c>
      <c r="G14" s="43">
        <v>5</v>
      </c>
      <c r="H14" s="15">
        <f>F14*G14/100</f>
        <v>86.542500000000004</v>
      </c>
      <c r="I14" s="43">
        <v>10</v>
      </c>
      <c r="J14" s="15">
        <f>F14*I14/100</f>
        <v>173.08500000000001</v>
      </c>
      <c r="K14" s="15"/>
      <c r="L14" s="15"/>
      <c r="M14" s="15"/>
      <c r="N14" s="15"/>
      <c r="O14" s="15"/>
      <c r="P14" s="15"/>
      <c r="Q14" s="15">
        <f>F14+H14+J14</f>
        <v>1990.4775</v>
      </c>
    </row>
    <row r="15" spans="1:19" ht="41.25" customHeight="1" outlineLevel="2" x14ac:dyDescent="0.3">
      <c r="A15" s="14">
        <v>5</v>
      </c>
      <c r="B15" s="35" t="s">
        <v>31</v>
      </c>
      <c r="C15" s="14">
        <v>0.25</v>
      </c>
      <c r="D15" s="14">
        <v>11</v>
      </c>
      <c r="E15" s="15">
        <v>6923.4</v>
      </c>
      <c r="F15" s="15">
        <f>E15*C15</f>
        <v>1730.85</v>
      </c>
      <c r="G15" s="43">
        <v>5</v>
      </c>
      <c r="H15" s="15">
        <f>F15*G15/100</f>
        <v>86.542500000000004</v>
      </c>
      <c r="I15" s="43">
        <v>20</v>
      </c>
      <c r="J15" s="15">
        <f>F15*I15/100</f>
        <v>346.17</v>
      </c>
      <c r="K15" s="15"/>
      <c r="L15" s="15"/>
      <c r="M15" s="15"/>
      <c r="N15" s="15"/>
      <c r="O15" s="15"/>
      <c r="P15" s="15"/>
      <c r="Q15" s="15">
        <f>F15+H15+J15</f>
        <v>2163.5625</v>
      </c>
    </row>
    <row r="16" spans="1:19" s="62" customFormat="1" ht="41.25" customHeight="1" outlineLevel="1" x14ac:dyDescent="0.3">
      <c r="A16" s="57"/>
      <c r="B16" s="58"/>
      <c r="C16" s="57">
        <f>SUBTOTAL(9,C11:C15)</f>
        <v>1.75</v>
      </c>
      <c r="D16" s="59" t="s">
        <v>52</v>
      </c>
      <c r="E16" s="60"/>
      <c r="F16" s="60">
        <f>SUBTOTAL(9,F11:F15)</f>
        <v>12115.95</v>
      </c>
      <c r="G16" s="61"/>
      <c r="H16" s="60">
        <f>SUBTOTAL(9,H11:H15)</f>
        <v>605.79750000000001</v>
      </c>
      <c r="I16" s="61"/>
      <c r="J16" s="60">
        <f>SUBTOTAL(9,J11:J15)</f>
        <v>865.42499999999995</v>
      </c>
      <c r="K16" s="60"/>
      <c r="L16" s="60"/>
      <c r="M16" s="60"/>
      <c r="N16" s="60"/>
      <c r="O16" s="60">
        <f>SUBTOTAL(9,O11:O15)</f>
        <v>0</v>
      </c>
      <c r="P16" s="60">
        <f>SUBTOTAL(9,P11:P15)</f>
        <v>0</v>
      </c>
      <c r="Q16" s="60">
        <f>SUBTOTAL(9,Q11:Q15)</f>
        <v>13587.172500000001</v>
      </c>
    </row>
    <row r="17" spans="1:17" ht="20.100000000000001" customHeight="1" outlineLevel="2" x14ac:dyDescent="0.3">
      <c r="A17" s="14">
        <v>9</v>
      </c>
      <c r="B17" s="35" t="s">
        <v>32</v>
      </c>
      <c r="C17" s="14">
        <v>1</v>
      </c>
      <c r="D17" s="14">
        <v>12</v>
      </c>
      <c r="E17" s="15">
        <v>7450.3</v>
      </c>
      <c r="F17" s="15">
        <f>E17*C17</f>
        <v>7450.3</v>
      </c>
      <c r="G17" s="43">
        <v>5</v>
      </c>
      <c r="H17" s="15">
        <f>F17*G17/100</f>
        <v>372.51499999999999</v>
      </c>
      <c r="I17" s="43">
        <v>20</v>
      </c>
      <c r="J17" s="15">
        <f>F17*I17/100</f>
        <v>1490.06</v>
      </c>
      <c r="K17" s="15"/>
      <c r="L17" s="15"/>
      <c r="M17" s="15"/>
      <c r="N17" s="15"/>
      <c r="O17" s="15">
        <f>E17*0.2</f>
        <v>1490.0600000000002</v>
      </c>
      <c r="P17" s="15"/>
      <c r="Q17" s="15">
        <f>F17+H17+J17+O17</f>
        <v>10802.934999999999</v>
      </c>
    </row>
    <row r="18" spans="1:17" ht="20.100000000000001" customHeight="1" outlineLevel="2" x14ac:dyDescent="0.3">
      <c r="A18" s="14">
        <v>9</v>
      </c>
      <c r="B18" s="35" t="s">
        <v>76</v>
      </c>
      <c r="C18" s="14">
        <v>1</v>
      </c>
      <c r="D18" s="14">
        <v>12</v>
      </c>
      <c r="E18" s="15">
        <v>7450.3</v>
      </c>
      <c r="F18" s="15">
        <f>E18*C18</f>
        <v>7450.3</v>
      </c>
      <c r="G18" s="43">
        <v>5</v>
      </c>
      <c r="H18" s="15">
        <f>F18*G18/100</f>
        <v>372.51499999999999</v>
      </c>
      <c r="I18" s="43">
        <v>20</v>
      </c>
      <c r="J18" s="15">
        <f>F18*I18/100</f>
        <v>1490.06</v>
      </c>
      <c r="K18" s="15"/>
      <c r="L18" s="15"/>
      <c r="M18" s="15"/>
      <c r="N18" s="15"/>
      <c r="O18" s="15">
        <f>F18*0.2</f>
        <v>1490.0600000000002</v>
      </c>
      <c r="P18" s="15"/>
      <c r="Q18" s="15">
        <f>F18+H18+J18+O18</f>
        <v>10802.934999999999</v>
      </c>
    </row>
    <row r="19" spans="1:17" ht="20.100000000000001" customHeight="1" outlineLevel="2" x14ac:dyDescent="0.3">
      <c r="A19" s="14">
        <v>6</v>
      </c>
      <c r="B19" s="35" t="s">
        <v>32</v>
      </c>
      <c r="C19" s="14">
        <v>1</v>
      </c>
      <c r="D19" s="14">
        <v>12</v>
      </c>
      <c r="E19" s="15">
        <v>7450.3</v>
      </c>
      <c r="F19" s="15">
        <f>E19*C19</f>
        <v>7450.3</v>
      </c>
      <c r="G19" s="43">
        <v>5</v>
      </c>
      <c r="H19" s="15">
        <f>F19*G19/100</f>
        <v>372.51499999999999</v>
      </c>
      <c r="I19" s="43">
        <v>30</v>
      </c>
      <c r="J19" s="15">
        <f>F19*I19/100</f>
        <v>2235.09</v>
      </c>
      <c r="K19" s="15"/>
      <c r="L19" s="15"/>
      <c r="M19" s="15"/>
      <c r="N19" s="15"/>
      <c r="O19" s="15">
        <f>F19*0.2</f>
        <v>1490.0600000000002</v>
      </c>
      <c r="P19" s="15"/>
      <c r="Q19" s="15">
        <f>F19+H19+J19+O19</f>
        <v>11547.965</v>
      </c>
    </row>
    <row r="20" spans="1:17" s="62" customFormat="1" ht="20.100000000000001" customHeight="1" outlineLevel="1" x14ac:dyDescent="0.3">
      <c r="A20" s="57"/>
      <c r="B20" s="58"/>
      <c r="C20" s="57">
        <f>SUBTOTAL(9,C17:C19)</f>
        <v>3</v>
      </c>
      <c r="D20" s="59" t="s">
        <v>53</v>
      </c>
      <c r="E20" s="60"/>
      <c r="F20" s="60">
        <f>SUBTOTAL(9,F17:F19)</f>
        <v>22350.9</v>
      </c>
      <c r="G20" s="61"/>
      <c r="H20" s="60">
        <f>SUBTOTAL(9,H17:H19)</f>
        <v>1117.5450000000001</v>
      </c>
      <c r="I20" s="61"/>
      <c r="J20" s="60">
        <f>SUBTOTAL(9,J17:J19)</f>
        <v>5215.21</v>
      </c>
      <c r="K20" s="60"/>
      <c r="L20" s="60"/>
      <c r="M20" s="60"/>
      <c r="N20" s="60"/>
      <c r="O20" s="60">
        <f>SUBTOTAL(9,O17:O19)</f>
        <v>4470.18</v>
      </c>
      <c r="P20" s="60">
        <f>SUBTOTAL(9,P17:P19)</f>
        <v>0</v>
      </c>
      <c r="Q20" s="60">
        <f>SUBTOTAL(9,Q17:Q19)</f>
        <v>33153.834999999999</v>
      </c>
    </row>
    <row r="21" spans="1:17" ht="18" customHeight="1" outlineLevel="2" x14ac:dyDescent="0.3">
      <c r="A21" s="14">
        <v>4</v>
      </c>
      <c r="B21" s="35" t="s">
        <v>71</v>
      </c>
      <c r="C21" s="14">
        <v>0.5</v>
      </c>
      <c r="D21" s="14">
        <v>13</v>
      </c>
      <c r="E21" s="15">
        <v>7978.3</v>
      </c>
      <c r="F21" s="15">
        <f t="shared" ref="F21:F26" si="4">E21*C21</f>
        <v>3989.15</v>
      </c>
      <c r="G21" s="43">
        <v>5</v>
      </c>
      <c r="H21" s="15">
        <f t="shared" ref="H21:H26" si="5">F21*G21/100</f>
        <v>199.45750000000001</v>
      </c>
      <c r="I21" s="43">
        <v>20</v>
      </c>
      <c r="J21" s="15">
        <f t="shared" ref="J21:J26" si="6">F21*I21/100</f>
        <v>797.83</v>
      </c>
      <c r="K21" s="15"/>
      <c r="L21" s="15"/>
      <c r="M21" s="15"/>
      <c r="N21" s="15"/>
      <c r="O21" s="15"/>
      <c r="P21" s="15"/>
      <c r="Q21" s="15">
        <f t="shared" ref="Q21:Q26" si="7">F21+H21+J21</f>
        <v>4986.4375</v>
      </c>
    </row>
    <row r="22" spans="1:17" ht="38.25" customHeight="1" outlineLevel="2" x14ac:dyDescent="0.3">
      <c r="A22" s="14">
        <v>5</v>
      </c>
      <c r="B22" s="35" t="s">
        <v>30</v>
      </c>
      <c r="C22" s="14">
        <v>0.5</v>
      </c>
      <c r="D22" s="14">
        <v>13</v>
      </c>
      <c r="E22" s="15">
        <v>7978.3</v>
      </c>
      <c r="F22" s="15">
        <f t="shared" si="4"/>
        <v>3989.15</v>
      </c>
      <c r="G22" s="43">
        <v>5</v>
      </c>
      <c r="H22" s="15">
        <f t="shared" si="5"/>
        <v>199.45750000000001</v>
      </c>
      <c r="I22" s="43">
        <v>20</v>
      </c>
      <c r="J22" s="15">
        <f t="shared" si="6"/>
        <v>797.83</v>
      </c>
      <c r="K22" s="15"/>
      <c r="L22" s="15"/>
      <c r="M22" s="15"/>
      <c r="N22" s="15"/>
      <c r="O22" s="15"/>
      <c r="P22" s="15"/>
      <c r="Q22" s="15">
        <f t="shared" si="7"/>
        <v>4986.4375</v>
      </c>
    </row>
    <row r="23" spans="1:17" ht="20.100000000000001" customHeight="1" outlineLevel="2" x14ac:dyDescent="0.3">
      <c r="A23" s="14">
        <v>6</v>
      </c>
      <c r="B23" s="35" t="s">
        <v>70</v>
      </c>
      <c r="C23" s="14">
        <v>0.5</v>
      </c>
      <c r="D23" s="14">
        <v>13</v>
      </c>
      <c r="E23" s="15">
        <v>7978.3</v>
      </c>
      <c r="F23" s="15">
        <f t="shared" si="4"/>
        <v>3989.15</v>
      </c>
      <c r="G23" s="43">
        <v>5</v>
      </c>
      <c r="H23" s="15">
        <f t="shared" si="5"/>
        <v>199.45750000000001</v>
      </c>
      <c r="I23" s="43">
        <v>20</v>
      </c>
      <c r="J23" s="15">
        <f t="shared" si="6"/>
        <v>797.83</v>
      </c>
      <c r="K23" s="15"/>
      <c r="L23" s="15"/>
      <c r="M23" s="15"/>
      <c r="N23" s="15"/>
      <c r="O23" s="15"/>
      <c r="P23" s="15"/>
      <c r="Q23" s="15">
        <f t="shared" si="7"/>
        <v>4986.4375</v>
      </c>
    </row>
    <row r="24" spans="1:17" ht="20.100000000000001" customHeight="1" outlineLevel="2" x14ac:dyDescent="0.3">
      <c r="A24" s="14">
        <v>4</v>
      </c>
      <c r="B24" s="35" t="s">
        <v>72</v>
      </c>
      <c r="C24" s="14">
        <v>1</v>
      </c>
      <c r="D24" s="14">
        <v>13</v>
      </c>
      <c r="E24" s="15">
        <v>7978.3</v>
      </c>
      <c r="F24" s="15">
        <f t="shared" si="4"/>
        <v>7978.3</v>
      </c>
      <c r="G24" s="43">
        <v>5</v>
      </c>
      <c r="H24" s="15">
        <f t="shared" si="5"/>
        <v>398.91500000000002</v>
      </c>
      <c r="I24" s="43">
        <v>20</v>
      </c>
      <c r="J24" s="15">
        <f t="shared" si="6"/>
        <v>1595.66</v>
      </c>
      <c r="K24" s="15"/>
      <c r="L24" s="15"/>
      <c r="M24" s="15"/>
      <c r="N24" s="15"/>
      <c r="O24" s="15"/>
      <c r="P24" s="15"/>
      <c r="Q24" s="15">
        <f t="shared" si="7"/>
        <v>9972.875</v>
      </c>
    </row>
    <row r="25" spans="1:17" ht="20.100000000000001" customHeight="1" outlineLevel="2" x14ac:dyDescent="0.3">
      <c r="A25" s="14">
        <v>5</v>
      </c>
      <c r="B25" s="35" t="s">
        <v>73</v>
      </c>
      <c r="C25" s="14">
        <v>0.25</v>
      </c>
      <c r="D25" s="14">
        <v>13</v>
      </c>
      <c r="E25" s="15">
        <v>7978.3</v>
      </c>
      <c r="F25" s="15">
        <f t="shared" si="4"/>
        <v>1994.575</v>
      </c>
      <c r="G25" s="43">
        <v>5</v>
      </c>
      <c r="H25" s="15">
        <f t="shared" si="5"/>
        <v>99.728750000000005</v>
      </c>
      <c r="I25" s="43">
        <v>20</v>
      </c>
      <c r="J25" s="15">
        <f t="shared" si="6"/>
        <v>398.91500000000002</v>
      </c>
      <c r="K25" s="15"/>
      <c r="L25" s="15"/>
      <c r="M25" s="15"/>
      <c r="N25" s="15"/>
      <c r="O25" s="15"/>
      <c r="P25" s="15"/>
      <c r="Q25" s="15">
        <f t="shared" si="7"/>
        <v>2493.21875</v>
      </c>
    </row>
    <row r="26" spans="1:17" ht="20.100000000000001" customHeight="1" outlineLevel="2" x14ac:dyDescent="0.3">
      <c r="A26" s="14">
        <v>3</v>
      </c>
      <c r="B26" s="35" t="s">
        <v>71</v>
      </c>
      <c r="C26" s="14">
        <v>1</v>
      </c>
      <c r="D26" s="14">
        <v>13</v>
      </c>
      <c r="E26" s="15">
        <v>7978.3</v>
      </c>
      <c r="F26" s="15">
        <f t="shared" si="4"/>
        <v>7978.3</v>
      </c>
      <c r="G26" s="43">
        <v>5</v>
      </c>
      <c r="H26" s="15">
        <f t="shared" si="5"/>
        <v>398.91500000000002</v>
      </c>
      <c r="I26" s="43">
        <v>30</v>
      </c>
      <c r="J26" s="15">
        <f t="shared" si="6"/>
        <v>2393.4899999999998</v>
      </c>
      <c r="K26" s="15"/>
      <c r="L26" s="15"/>
      <c r="M26" s="15"/>
      <c r="N26" s="15"/>
      <c r="O26" s="15"/>
      <c r="P26" s="15"/>
      <c r="Q26" s="15">
        <f t="shared" si="7"/>
        <v>10770.705</v>
      </c>
    </row>
    <row r="27" spans="1:17" s="62" customFormat="1" ht="20.100000000000001" customHeight="1" outlineLevel="1" x14ac:dyDescent="0.3">
      <c r="A27" s="57"/>
      <c r="B27" s="58"/>
      <c r="C27" s="57">
        <f>SUBTOTAL(9,C21:C26)</f>
        <v>3.75</v>
      </c>
      <c r="D27" s="59" t="s">
        <v>54</v>
      </c>
      <c r="E27" s="60"/>
      <c r="F27" s="60">
        <f>SUBTOTAL(9,F21:F26)</f>
        <v>29918.625</v>
      </c>
      <c r="G27" s="61"/>
      <c r="H27" s="60">
        <f>SUBTOTAL(9,H21:H26)</f>
        <v>1495.9312500000001</v>
      </c>
      <c r="I27" s="61"/>
      <c r="J27" s="60">
        <f>SUBTOTAL(9,J21:J26)</f>
        <v>6781.5550000000003</v>
      </c>
      <c r="K27" s="60"/>
      <c r="L27" s="60"/>
      <c r="M27" s="60"/>
      <c r="N27" s="60"/>
      <c r="O27" s="60">
        <f>SUBTOTAL(9,O21:O26)</f>
        <v>0</v>
      </c>
      <c r="P27" s="60">
        <f>SUBTOTAL(9,P21:P26)</f>
        <v>0</v>
      </c>
      <c r="Q27" s="60">
        <f>SUBTOTAL(9,Q21:Q26)</f>
        <v>38196.111250000002</v>
      </c>
    </row>
    <row r="28" spans="1:17" ht="20.100000000000001" customHeight="1" outlineLevel="2" x14ac:dyDescent="0.3">
      <c r="A28" s="14">
        <v>4</v>
      </c>
      <c r="B28" s="35" t="s">
        <v>69</v>
      </c>
      <c r="C28" s="14">
        <v>0.5</v>
      </c>
      <c r="D28" s="14">
        <v>14</v>
      </c>
      <c r="E28" s="15">
        <v>8505.2000000000007</v>
      </c>
      <c r="F28" s="15">
        <f>E28*C28</f>
        <v>4252.6000000000004</v>
      </c>
      <c r="G28" s="43">
        <v>5</v>
      </c>
      <c r="H28" s="15">
        <f>F28*G28/100</f>
        <v>212.63</v>
      </c>
      <c r="I28" s="43">
        <v>30</v>
      </c>
      <c r="J28" s="15">
        <f>F28*I28/100</f>
        <v>1275.7800000000002</v>
      </c>
      <c r="K28" s="15"/>
      <c r="L28" s="15"/>
      <c r="M28" s="15"/>
      <c r="N28" s="15"/>
      <c r="O28" s="15"/>
      <c r="P28" s="15"/>
      <c r="Q28" s="15">
        <f>F28+H28+J28</f>
        <v>5741.01</v>
      </c>
    </row>
    <row r="29" spans="1:17" ht="20.100000000000001" customHeight="1" outlineLevel="2" x14ac:dyDescent="0.3">
      <c r="A29" s="14">
        <v>1</v>
      </c>
      <c r="B29" s="34" t="s">
        <v>5</v>
      </c>
      <c r="C29" s="14">
        <v>1</v>
      </c>
      <c r="D29" s="14">
        <v>14</v>
      </c>
      <c r="E29" s="15">
        <v>8505.2000000000007</v>
      </c>
      <c r="F29" s="15">
        <f>E29*C29</f>
        <v>8505.2000000000007</v>
      </c>
      <c r="G29" s="43">
        <v>20</v>
      </c>
      <c r="H29" s="15">
        <f>F29*G29/100</f>
        <v>1701.04</v>
      </c>
      <c r="I29" s="43">
        <v>30</v>
      </c>
      <c r="J29" s="15">
        <f>F29*I29/100</f>
        <v>2551.5600000000004</v>
      </c>
      <c r="K29" s="15"/>
      <c r="L29" s="15"/>
      <c r="M29" s="15"/>
      <c r="N29" s="15"/>
      <c r="O29" s="15"/>
      <c r="P29" s="15"/>
      <c r="Q29" s="15">
        <f>F29+H29+J29</f>
        <v>12757.800000000003</v>
      </c>
    </row>
    <row r="30" spans="1:17" ht="20.100000000000001" customHeight="1" outlineLevel="2" x14ac:dyDescent="0.3">
      <c r="A30" s="14">
        <v>2</v>
      </c>
      <c r="B30" s="35" t="s">
        <v>74</v>
      </c>
      <c r="C30" s="14">
        <v>0.5</v>
      </c>
      <c r="D30" s="14">
        <v>14</v>
      </c>
      <c r="E30" s="15">
        <f>E29*0.95</f>
        <v>8079.9400000000005</v>
      </c>
      <c r="F30" s="15">
        <f>E30*C30</f>
        <v>4039.9700000000003</v>
      </c>
      <c r="G30" s="43">
        <v>20</v>
      </c>
      <c r="H30" s="15">
        <f>F30*G30/100</f>
        <v>807.99400000000014</v>
      </c>
      <c r="I30" s="43">
        <v>20</v>
      </c>
      <c r="J30" s="15">
        <f>F30*I30/100</f>
        <v>807.99400000000014</v>
      </c>
      <c r="K30" s="15"/>
      <c r="L30" s="15"/>
      <c r="M30" s="15"/>
      <c r="N30" s="15"/>
      <c r="O30" s="15"/>
      <c r="P30" s="15">
        <f>E30*0.1</f>
        <v>807.99400000000014</v>
      </c>
      <c r="Q30" s="15">
        <f>F30+H30+J30+P30</f>
        <v>6463.9520000000011</v>
      </c>
    </row>
    <row r="31" spans="1:17" ht="18" customHeight="1" outlineLevel="2" x14ac:dyDescent="0.3">
      <c r="A31" s="14">
        <v>1</v>
      </c>
      <c r="B31" s="34" t="s">
        <v>5</v>
      </c>
      <c r="C31" s="14">
        <v>1</v>
      </c>
      <c r="D31" s="14">
        <v>14</v>
      </c>
      <c r="E31" s="15">
        <v>8505.2000000000007</v>
      </c>
      <c r="F31" s="15">
        <f>E31*C31</f>
        <v>8505.2000000000007</v>
      </c>
      <c r="G31" s="43">
        <v>20</v>
      </c>
      <c r="H31" s="15">
        <f>F31*G31/100</f>
        <v>1701.04</v>
      </c>
      <c r="I31" s="43">
        <v>30</v>
      </c>
      <c r="J31" s="15">
        <f>F31*I31/100</f>
        <v>2551.5600000000004</v>
      </c>
      <c r="K31" s="15"/>
      <c r="L31" s="15"/>
      <c r="M31" s="15"/>
      <c r="N31" s="15"/>
      <c r="O31" s="15"/>
      <c r="P31" s="15"/>
      <c r="Q31" s="15">
        <f>F31+H31+J31</f>
        <v>12757.800000000003</v>
      </c>
    </row>
    <row r="32" spans="1:17" ht="41.25" customHeight="1" outlineLevel="2" x14ac:dyDescent="0.3">
      <c r="A32" s="14">
        <v>2</v>
      </c>
      <c r="B32" s="35" t="s">
        <v>74</v>
      </c>
      <c r="C32" s="14">
        <v>1</v>
      </c>
      <c r="D32" s="14">
        <v>14</v>
      </c>
      <c r="E32" s="15">
        <f>E31*0.9</f>
        <v>7654.6800000000012</v>
      </c>
      <c r="F32" s="15">
        <f>E32*C32</f>
        <v>7654.6800000000012</v>
      </c>
      <c r="G32" s="43">
        <v>20</v>
      </c>
      <c r="H32" s="15">
        <f>F32*G32/100</f>
        <v>1530.9360000000004</v>
      </c>
      <c r="I32" s="43">
        <v>20</v>
      </c>
      <c r="J32" s="15">
        <f>F32*I32/100</f>
        <v>1530.9360000000004</v>
      </c>
      <c r="K32" s="15"/>
      <c r="L32" s="15"/>
      <c r="M32" s="15"/>
      <c r="N32" s="15"/>
      <c r="O32" s="15"/>
      <c r="P32" s="15">
        <f>E32*0.1</f>
        <v>765.46800000000019</v>
      </c>
      <c r="Q32" s="15">
        <f>F32+H32+J32+P32</f>
        <v>11482.020000000002</v>
      </c>
    </row>
    <row r="33" spans="1:18" s="62" customFormat="1" ht="20.100000000000001" customHeight="1" outlineLevel="1" x14ac:dyDescent="0.3">
      <c r="A33" s="57"/>
      <c r="B33" s="63"/>
      <c r="C33" s="57">
        <f>SUBTOTAL(9,C28:C32)</f>
        <v>4</v>
      </c>
      <c r="D33" s="59" t="s">
        <v>60</v>
      </c>
      <c r="E33" s="60"/>
      <c r="F33" s="60">
        <f>SUBTOTAL(9,F28:F32)</f>
        <v>32957.65</v>
      </c>
      <c r="G33" s="61"/>
      <c r="H33" s="60">
        <f>SUBTOTAL(9,H28:H32)</f>
        <v>5953.64</v>
      </c>
      <c r="I33" s="61"/>
      <c r="J33" s="60">
        <f>SUBTOTAL(9,J28:J32)</f>
        <v>8717.8300000000017</v>
      </c>
      <c r="K33" s="60"/>
      <c r="L33" s="60"/>
      <c r="M33" s="60"/>
      <c r="N33" s="60"/>
      <c r="O33" s="60">
        <f>SUBTOTAL(9,O28:O32)</f>
        <v>0</v>
      </c>
      <c r="P33" s="60">
        <f>SUBTOTAL(9,P28:P32)</f>
        <v>1573.4620000000004</v>
      </c>
      <c r="Q33" s="60">
        <f>SUBTOTAL(9,Q28:Q32)</f>
        <v>49202.582000000009</v>
      </c>
    </row>
    <row r="34" spans="1:18" ht="20.100000000000001" customHeight="1" outlineLevel="2" x14ac:dyDescent="0.3">
      <c r="A34" s="14">
        <v>1</v>
      </c>
      <c r="B34" s="34" t="s">
        <v>5</v>
      </c>
      <c r="C34" s="14">
        <v>1</v>
      </c>
      <c r="D34" s="14">
        <v>15</v>
      </c>
      <c r="E34" s="15">
        <v>9067.2999999999993</v>
      </c>
      <c r="F34" s="15">
        <f>E34*C34</f>
        <v>9067.2999999999993</v>
      </c>
      <c r="G34" s="43">
        <v>20</v>
      </c>
      <c r="H34" s="15">
        <f>F34*G34/100</f>
        <v>1813.46</v>
      </c>
      <c r="I34" s="43">
        <v>30</v>
      </c>
      <c r="J34" s="15">
        <f>F34*I34/100</f>
        <v>2720.19</v>
      </c>
      <c r="K34" s="15"/>
      <c r="L34" s="15"/>
      <c r="M34" s="15"/>
      <c r="N34" s="15"/>
      <c r="O34" s="15"/>
      <c r="P34" s="15">
        <f>E34*0.1</f>
        <v>906.73</v>
      </c>
      <c r="Q34" s="15">
        <f>F34+H34+J34+P34</f>
        <v>14507.679999999998</v>
      </c>
    </row>
    <row r="35" spans="1:18" ht="20.100000000000001" customHeight="1" outlineLevel="2" x14ac:dyDescent="0.3">
      <c r="A35" s="14">
        <v>2</v>
      </c>
      <c r="B35" s="35" t="s">
        <v>44</v>
      </c>
      <c r="C35" s="14">
        <v>1</v>
      </c>
      <c r="D35" s="14">
        <v>15</v>
      </c>
      <c r="E35" s="15">
        <f>E34*0.95</f>
        <v>8613.9349999999995</v>
      </c>
      <c r="F35" s="15">
        <f>E35*C35</f>
        <v>8613.9349999999995</v>
      </c>
      <c r="G35" s="43">
        <v>20</v>
      </c>
      <c r="H35" s="15">
        <f>F35*G35/100</f>
        <v>1722.7869999999998</v>
      </c>
      <c r="I35" s="43">
        <v>20</v>
      </c>
      <c r="J35" s="15">
        <f>F35*I35/100</f>
        <v>1722.7869999999998</v>
      </c>
      <c r="K35" s="15"/>
      <c r="L35" s="15"/>
      <c r="M35" s="15"/>
      <c r="N35" s="15"/>
      <c r="O35" s="15"/>
      <c r="P35" s="15"/>
      <c r="Q35" s="15">
        <f>F35+H35+J35</f>
        <v>12059.509</v>
      </c>
    </row>
    <row r="36" spans="1:18" s="62" customFormat="1" ht="20.100000000000001" customHeight="1" outlineLevel="1" x14ac:dyDescent="0.3">
      <c r="A36" s="64"/>
      <c r="B36" s="58"/>
      <c r="C36" s="57">
        <f>SUBTOTAL(9,C34:C35)</f>
        <v>2</v>
      </c>
      <c r="D36" s="59" t="s">
        <v>58</v>
      </c>
      <c r="E36" s="60"/>
      <c r="F36" s="60">
        <f>SUBTOTAL(9,F34:F35)</f>
        <v>17681.235000000001</v>
      </c>
      <c r="G36" s="61"/>
      <c r="H36" s="60">
        <f>SUBTOTAL(9,H34:H35)</f>
        <v>3536.2469999999998</v>
      </c>
      <c r="I36" s="61"/>
      <c r="J36" s="60">
        <f>SUBTOTAL(9,J34:J35)</f>
        <v>4442.9769999999999</v>
      </c>
      <c r="K36" s="60"/>
      <c r="L36" s="60"/>
      <c r="M36" s="60"/>
      <c r="N36" s="60"/>
      <c r="O36" s="60">
        <f>SUBTOTAL(9,O34:O35)</f>
        <v>0</v>
      </c>
      <c r="P36" s="60">
        <f>SUBTOTAL(9,P34:P35)</f>
        <v>906.73</v>
      </c>
      <c r="Q36" s="60">
        <f>SUBTOTAL(9,Q34:Q35)</f>
        <v>26567.188999999998</v>
      </c>
    </row>
    <row r="37" spans="1:18" ht="20.100000000000001" customHeight="1" outlineLevel="2" x14ac:dyDescent="0.3">
      <c r="A37" s="52">
        <v>1</v>
      </c>
      <c r="B37" s="34" t="s">
        <v>5</v>
      </c>
      <c r="C37" s="14">
        <v>1</v>
      </c>
      <c r="D37" s="14">
        <v>17</v>
      </c>
      <c r="E37" s="15">
        <v>10543.5</v>
      </c>
      <c r="F37" s="15">
        <f>E37*C37</f>
        <v>10543.5</v>
      </c>
      <c r="G37" s="43">
        <v>20</v>
      </c>
      <c r="H37" s="15">
        <f>F37*G37/100</f>
        <v>2108.6999999999998</v>
      </c>
      <c r="I37" s="43">
        <v>30</v>
      </c>
      <c r="J37" s="15">
        <f>F37*I37/100</f>
        <v>3163.05</v>
      </c>
      <c r="K37" s="15"/>
      <c r="L37" s="15"/>
      <c r="M37" s="15"/>
      <c r="N37" s="15"/>
      <c r="O37" s="15"/>
      <c r="P37" s="15"/>
      <c r="Q37" s="15">
        <f>F37+H37+J37</f>
        <v>15815.25</v>
      </c>
    </row>
    <row r="38" spans="1:18" ht="20.100000000000001" customHeight="1" outlineLevel="2" x14ac:dyDescent="0.3">
      <c r="A38" s="14">
        <v>2</v>
      </c>
      <c r="B38" s="35" t="s">
        <v>44</v>
      </c>
      <c r="C38" s="14">
        <v>1</v>
      </c>
      <c r="D38" s="14">
        <v>17</v>
      </c>
      <c r="E38" s="15">
        <f>E37*0.95</f>
        <v>10016.324999999999</v>
      </c>
      <c r="F38" s="15">
        <f>E38*C38</f>
        <v>10016.324999999999</v>
      </c>
      <c r="G38" s="43">
        <v>20</v>
      </c>
      <c r="H38" s="15">
        <f>F38*G38/100</f>
        <v>2003.2649999999996</v>
      </c>
      <c r="I38" s="43">
        <v>30</v>
      </c>
      <c r="J38" s="15">
        <f>F38*I38/100</f>
        <v>3004.8974999999996</v>
      </c>
      <c r="K38" s="15"/>
      <c r="L38" s="15"/>
      <c r="M38" s="15"/>
      <c r="N38" s="15"/>
      <c r="O38" s="15"/>
      <c r="P38" s="15"/>
      <c r="Q38" s="15">
        <f>F38+H38+J38</f>
        <v>15024.487499999997</v>
      </c>
    </row>
    <row r="39" spans="1:18" ht="18" customHeight="1" outlineLevel="2" x14ac:dyDescent="0.3">
      <c r="A39" s="14">
        <v>3</v>
      </c>
      <c r="B39" s="35" t="s">
        <v>44</v>
      </c>
      <c r="C39" s="14">
        <v>0.5</v>
      </c>
      <c r="D39" s="14">
        <v>17</v>
      </c>
      <c r="E39" s="15">
        <f>E38</f>
        <v>10016.324999999999</v>
      </c>
      <c r="F39" s="15">
        <f>E39*C39</f>
        <v>5008.1624999999995</v>
      </c>
      <c r="G39" s="43">
        <v>5</v>
      </c>
      <c r="H39" s="15">
        <f>F39*G39/100</f>
        <v>250.40812499999996</v>
      </c>
      <c r="I39" s="43">
        <v>30</v>
      </c>
      <c r="J39" s="15">
        <f>F39*I39/100</f>
        <v>1502.4487499999998</v>
      </c>
      <c r="K39" s="15"/>
      <c r="L39" s="15"/>
      <c r="M39" s="15"/>
      <c r="N39" s="15"/>
      <c r="O39" s="15"/>
      <c r="P39" s="15"/>
      <c r="Q39" s="15">
        <f>F39+H39+J39</f>
        <v>6761.0193749999989</v>
      </c>
    </row>
    <row r="40" spans="1:18" s="62" customFormat="1" ht="18" customHeight="1" outlineLevel="1" x14ac:dyDescent="0.3">
      <c r="A40" s="65"/>
      <c r="B40" s="66"/>
      <c r="C40" s="65">
        <f>SUBTOTAL(9,C37:C39)</f>
        <v>2.5</v>
      </c>
      <c r="D40" s="67" t="s">
        <v>55</v>
      </c>
      <c r="E40" s="68"/>
      <c r="F40" s="68">
        <f>SUBTOTAL(9,F37:F39)</f>
        <v>25567.987499999996</v>
      </c>
      <c r="G40" s="69"/>
      <c r="H40" s="68">
        <f>SUBTOTAL(9,H37:H39)</f>
        <v>4362.3731249999992</v>
      </c>
      <c r="I40" s="69"/>
      <c r="J40" s="68">
        <f>SUBTOTAL(9,J37:J39)</f>
        <v>7670.3962499999998</v>
      </c>
      <c r="K40" s="68"/>
      <c r="L40" s="68"/>
      <c r="M40" s="68"/>
      <c r="N40" s="68"/>
      <c r="O40" s="68">
        <f>SUBTOTAL(9,O37:O39)</f>
        <v>0</v>
      </c>
      <c r="P40" s="68">
        <f>SUBTOTAL(9,P37:P39)</f>
        <v>0</v>
      </c>
      <c r="Q40" s="68">
        <f>SUBTOTAL(9,Q37:Q39)</f>
        <v>37600.756874999992</v>
      </c>
    </row>
    <row r="41" spans="1:18" ht="18" customHeight="1" x14ac:dyDescent="0.3">
      <c r="A41" s="53"/>
      <c r="B41" s="54"/>
      <c r="C41" s="53">
        <f>SUBTOTAL(9,C4:C39)</f>
        <v>22.5</v>
      </c>
      <c r="D41" s="56" t="s">
        <v>56</v>
      </c>
      <c r="E41" s="55"/>
      <c r="F41" s="55">
        <f t="shared" ref="F41:Q41" si="8">SUBTOTAL(9,F4:F39)</f>
        <v>175773.09749999997</v>
      </c>
      <c r="G41" s="55">
        <f t="shared" si="8"/>
        <v>270</v>
      </c>
      <c r="H41" s="55">
        <f t="shared" si="8"/>
        <v>18830.571375000003</v>
      </c>
      <c r="I41" s="55">
        <f t="shared" si="8"/>
        <v>600</v>
      </c>
      <c r="J41" s="55">
        <f t="shared" si="8"/>
        <v>38490.768250000001</v>
      </c>
      <c r="K41" s="55">
        <f t="shared" si="8"/>
        <v>0</v>
      </c>
      <c r="L41" s="55">
        <f t="shared" si="8"/>
        <v>0</v>
      </c>
      <c r="M41" s="55">
        <f t="shared" si="8"/>
        <v>0</v>
      </c>
      <c r="N41" s="55">
        <f t="shared" si="8"/>
        <v>0</v>
      </c>
      <c r="O41" s="55">
        <f t="shared" si="8"/>
        <v>10866.68</v>
      </c>
      <c r="P41" s="55">
        <f t="shared" si="8"/>
        <v>2480.1920000000005</v>
      </c>
      <c r="Q41" s="55">
        <f t="shared" si="8"/>
        <v>246441.30912499994</v>
      </c>
    </row>
    <row r="42" spans="1:18" x14ac:dyDescent="0.3">
      <c r="F42" t="s">
        <v>62</v>
      </c>
      <c r="H42" t="s">
        <v>80</v>
      </c>
      <c r="J42" t="s">
        <v>77</v>
      </c>
      <c r="K42" t="s">
        <v>78</v>
      </c>
      <c r="L42" t="s">
        <v>79</v>
      </c>
      <c r="M42" t="s">
        <v>81</v>
      </c>
      <c r="N42" t="s">
        <v>62</v>
      </c>
      <c r="P42" t="s">
        <v>80</v>
      </c>
      <c r="R42" t="s">
        <v>77</v>
      </c>
    </row>
    <row r="43" spans="1:18" x14ac:dyDescent="0.3">
      <c r="D43">
        <v>10</v>
      </c>
      <c r="E43">
        <v>5.5</v>
      </c>
      <c r="F43" s="72">
        <f>F10</f>
        <v>35180.75</v>
      </c>
      <c r="H43" s="72">
        <f>J10+O10</f>
        <v>11193.875</v>
      </c>
      <c r="J43" s="5">
        <f>H10</f>
        <v>1759.0375000000001</v>
      </c>
      <c r="K43">
        <f>7207.2*5</f>
        <v>36036</v>
      </c>
      <c r="L43">
        <f>K43*0.1</f>
        <v>3603.6000000000004</v>
      </c>
      <c r="N43">
        <f>F43*1.12676</f>
        <v>39640.261870000002</v>
      </c>
      <c r="P43">
        <f t="shared" ref="P43:R49" si="9">H43*1.12676</f>
        <v>12612.810594999999</v>
      </c>
      <c r="R43">
        <f t="shared" si="9"/>
        <v>1982.0130935000002</v>
      </c>
    </row>
    <row r="44" spans="1:18" x14ac:dyDescent="0.3">
      <c r="D44">
        <v>11</v>
      </c>
      <c r="E44">
        <v>1.75</v>
      </c>
      <c r="F44" s="72">
        <f>F16</f>
        <v>12115.95</v>
      </c>
      <c r="H44" s="72">
        <f>J16</f>
        <v>865.42499999999995</v>
      </c>
      <c r="J44" s="5">
        <f>H16</f>
        <v>605.79750000000001</v>
      </c>
      <c r="L44">
        <f t="shared" ref="L44:L50" si="10">K44*0.1</f>
        <v>0</v>
      </c>
      <c r="N44">
        <f t="shared" ref="N44:N49" si="11">F44*1.12676</f>
        <v>13651.767822</v>
      </c>
      <c r="P44">
        <f t="shared" si="9"/>
        <v>975.12627299999997</v>
      </c>
      <c r="R44">
        <f t="shared" si="9"/>
        <v>682.58839109999997</v>
      </c>
    </row>
    <row r="45" spans="1:18" x14ac:dyDescent="0.3">
      <c r="D45">
        <v>12</v>
      </c>
      <c r="E45">
        <v>3</v>
      </c>
      <c r="F45" s="72">
        <f>F20</f>
        <v>22350.9</v>
      </c>
      <c r="H45" s="72">
        <f>J20+O20</f>
        <v>9685.39</v>
      </c>
      <c r="J45" s="5">
        <f>H20</f>
        <v>1117.5450000000001</v>
      </c>
      <c r="K45">
        <f>8395.2*2</f>
        <v>16790.400000000001</v>
      </c>
      <c r="L45">
        <f t="shared" si="10"/>
        <v>1679.0400000000002</v>
      </c>
      <c r="N45">
        <f t="shared" si="11"/>
        <v>25184.100084000002</v>
      </c>
      <c r="P45">
        <f t="shared" si="9"/>
        <v>10913.110036399999</v>
      </c>
      <c r="R45">
        <f t="shared" si="9"/>
        <v>1259.2050042000001</v>
      </c>
    </row>
    <row r="46" spans="1:18" x14ac:dyDescent="0.3">
      <c r="D46">
        <v>13</v>
      </c>
      <c r="E46">
        <v>3.75</v>
      </c>
      <c r="F46" s="72">
        <f>F27</f>
        <v>29918.625</v>
      </c>
      <c r="H46" s="72">
        <f>J27</f>
        <v>6781.5550000000003</v>
      </c>
      <c r="J46" s="5">
        <f>H27</f>
        <v>1495.9312500000001</v>
      </c>
      <c r="K46">
        <f>8989.2*3</f>
        <v>26967.600000000002</v>
      </c>
      <c r="L46">
        <f t="shared" si="10"/>
        <v>2696.76</v>
      </c>
      <c r="N46">
        <f t="shared" si="11"/>
        <v>33711.109904999998</v>
      </c>
      <c r="P46">
        <f t="shared" si="9"/>
        <v>7641.1849118</v>
      </c>
      <c r="R46">
        <f t="shared" si="9"/>
        <v>1685.5554952500001</v>
      </c>
    </row>
    <row r="47" spans="1:18" x14ac:dyDescent="0.3">
      <c r="D47">
        <v>14</v>
      </c>
      <c r="E47">
        <v>4</v>
      </c>
      <c r="F47" s="72">
        <f>F33</f>
        <v>32957.65</v>
      </c>
      <c r="H47" s="72">
        <f>J33+P33</f>
        <v>10291.292000000001</v>
      </c>
      <c r="J47" s="5">
        <f>H33</f>
        <v>5953.64</v>
      </c>
      <c r="K47">
        <f>9583.2*4</f>
        <v>38332.800000000003</v>
      </c>
      <c r="L47">
        <f t="shared" si="10"/>
        <v>3833.2800000000007</v>
      </c>
      <c r="N47">
        <f t="shared" si="11"/>
        <v>37135.361713999999</v>
      </c>
      <c r="P47">
        <f t="shared" si="9"/>
        <v>11595.81617392</v>
      </c>
      <c r="R47">
        <f t="shared" si="9"/>
        <v>6708.3234063999998</v>
      </c>
    </row>
    <row r="48" spans="1:18" x14ac:dyDescent="0.3">
      <c r="D48">
        <v>15</v>
      </c>
      <c r="E48">
        <v>2</v>
      </c>
      <c r="F48" s="72">
        <f>F36</f>
        <v>17681.235000000001</v>
      </c>
      <c r="H48" s="72">
        <f>J36+P36</f>
        <v>5349.7070000000003</v>
      </c>
      <c r="J48" s="5">
        <f>H36</f>
        <v>3536.2469999999998</v>
      </c>
      <c r="K48">
        <f>10216.8*2</f>
        <v>20433.599999999999</v>
      </c>
      <c r="L48">
        <f t="shared" si="10"/>
        <v>2043.36</v>
      </c>
      <c r="N48">
        <f t="shared" si="11"/>
        <v>19922.5083486</v>
      </c>
      <c r="P48">
        <f t="shared" si="9"/>
        <v>6027.8358593200001</v>
      </c>
      <c r="R48">
        <f t="shared" si="9"/>
        <v>3984.5016697199999</v>
      </c>
    </row>
    <row r="49" spans="4:19" x14ac:dyDescent="0.3">
      <c r="D49">
        <v>17</v>
      </c>
      <c r="E49">
        <v>2.5</v>
      </c>
      <c r="F49" s="72">
        <f>F40</f>
        <v>25567.987499999996</v>
      </c>
      <c r="H49" s="72">
        <f>J40</f>
        <v>7670.3962499999998</v>
      </c>
      <c r="J49" s="5">
        <f>H40</f>
        <v>4362.3731249999992</v>
      </c>
      <c r="K49">
        <f>11880*3</f>
        <v>35640</v>
      </c>
      <c r="L49">
        <f t="shared" si="10"/>
        <v>3564</v>
      </c>
      <c r="N49">
        <f t="shared" si="11"/>
        <v>28808.985595499995</v>
      </c>
      <c r="P49">
        <f t="shared" si="9"/>
        <v>8642.6956786499995</v>
      </c>
      <c r="R49">
        <f t="shared" si="9"/>
        <v>4915.3475423249993</v>
      </c>
    </row>
    <row r="50" spans="4:19" x14ac:dyDescent="0.3">
      <c r="E50">
        <f>SUM(E43:E49)</f>
        <v>22.5</v>
      </c>
      <c r="F50" s="72">
        <f>SUM(F43:F49)</f>
        <v>175773.09749999997</v>
      </c>
      <c r="H50" s="72">
        <f>SUM(H43:H49)</f>
        <v>51837.640249999997</v>
      </c>
      <c r="J50">
        <f>SUM(J43:J49)</f>
        <v>18830.571375</v>
      </c>
      <c r="K50">
        <f>11880*3</f>
        <v>35640</v>
      </c>
      <c r="L50">
        <f t="shared" si="10"/>
        <v>3564</v>
      </c>
      <c r="N50">
        <f>SUM(N43:N49)</f>
        <v>198054.09533909999</v>
      </c>
      <c r="P50">
        <f>SUM(P43:P49)</f>
        <v>58408.579528090006</v>
      </c>
      <c r="R50">
        <f>SUM(R43:R49)</f>
        <v>21217.534602494998</v>
      </c>
      <c r="S50">
        <f>R50+P50+N50</f>
        <v>277680.20946968498</v>
      </c>
    </row>
    <row r="51" spans="4:19" x14ac:dyDescent="0.3">
      <c r="J51" s="73">
        <f>F50+H50+J50</f>
        <v>246441.30912499997</v>
      </c>
      <c r="K51">
        <f>SUM(K43:K50)</f>
        <v>209840.4</v>
      </c>
      <c r="L51">
        <f>SUM(L43:L50)</f>
        <v>20984.04</v>
      </c>
    </row>
    <row r="52" spans="4:19" x14ac:dyDescent="0.3">
      <c r="D52" s="62">
        <v>10</v>
      </c>
      <c r="E52" s="62">
        <v>5.5</v>
      </c>
      <c r="F52" s="62">
        <f>F43*3+N43*9</f>
        <v>462304.60683</v>
      </c>
      <c r="G52" s="62">
        <f t="shared" ref="G52:J58" si="12">G43*3+O43*9</f>
        <v>0</v>
      </c>
      <c r="H52" s="62">
        <f t="shared" si="12"/>
        <v>147096.92035500001</v>
      </c>
      <c r="I52" s="62">
        <f t="shared" si="12"/>
        <v>0</v>
      </c>
      <c r="J52" s="62">
        <f t="shared" si="12"/>
        <v>23115.230341500002</v>
      </c>
      <c r="K52" s="62">
        <f>K43+L43</f>
        <v>39639.599999999999</v>
      </c>
      <c r="L52" s="62"/>
    </row>
    <row r="53" spans="4:19" x14ac:dyDescent="0.3">
      <c r="D53" s="62">
        <v>11</v>
      </c>
      <c r="E53" s="62">
        <v>1.75</v>
      </c>
      <c r="F53" s="62">
        <f t="shared" ref="F53:F58" si="13">F44*3+N44*9</f>
        <v>159213.76039800001</v>
      </c>
      <c r="G53" s="62">
        <f t="shared" si="12"/>
        <v>0</v>
      </c>
      <c r="H53" s="62">
        <f t="shared" si="12"/>
        <v>11372.411457</v>
      </c>
      <c r="I53" s="62">
        <f t="shared" si="12"/>
        <v>0</v>
      </c>
      <c r="J53" s="62">
        <f t="shared" si="12"/>
        <v>7960.6880198999997</v>
      </c>
      <c r="K53" s="62">
        <f t="shared" ref="K53:K57" si="14">K44+L44</f>
        <v>0</v>
      </c>
      <c r="L53" s="62"/>
    </row>
    <row r="54" spans="4:19" x14ac:dyDescent="0.3">
      <c r="D54" s="62">
        <v>12</v>
      </c>
      <c r="E54" s="62">
        <v>3</v>
      </c>
      <c r="F54" s="62">
        <f t="shared" si="13"/>
        <v>293709.60075600003</v>
      </c>
      <c r="G54" s="62">
        <f t="shared" si="12"/>
        <v>0</v>
      </c>
      <c r="H54" s="62">
        <f t="shared" si="12"/>
        <v>127274.1603276</v>
      </c>
      <c r="I54" s="62">
        <f t="shared" si="12"/>
        <v>0</v>
      </c>
      <c r="J54" s="62">
        <f t="shared" si="12"/>
        <v>14685.480037800002</v>
      </c>
      <c r="K54" s="62">
        <f t="shared" si="14"/>
        <v>18469.440000000002</v>
      </c>
      <c r="L54" s="62"/>
    </row>
    <row r="55" spans="4:19" x14ac:dyDescent="0.3">
      <c r="D55" s="62">
        <v>13</v>
      </c>
      <c r="E55" s="62">
        <v>3.75</v>
      </c>
      <c r="F55" s="62">
        <f t="shared" si="13"/>
        <v>393155.864145</v>
      </c>
      <c r="G55" s="62">
        <f t="shared" si="12"/>
        <v>0</v>
      </c>
      <c r="H55" s="62">
        <f t="shared" si="12"/>
        <v>89115.329206199996</v>
      </c>
      <c r="I55" s="62">
        <f t="shared" si="12"/>
        <v>0</v>
      </c>
      <c r="J55" s="62">
        <f t="shared" si="12"/>
        <v>19657.793207250004</v>
      </c>
      <c r="K55" s="62">
        <f t="shared" si="14"/>
        <v>29664.36</v>
      </c>
      <c r="L55" s="62"/>
    </row>
    <row r="56" spans="4:19" x14ac:dyDescent="0.3">
      <c r="D56" s="62">
        <v>14</v>
      </c>
      <c r="E56" s="62">
        <v>4</v>
      </c>
      <c r="F56" s="62">
        <f t="shared" si="13"/>
        <v>433091.205426</v>
      </c>
      <c r="G56" s="62">
        <f t="shared" si="12"/>
        <v>0</v>
      </c>
      <c r="H56" s="62">
        <f t="shared" si="12"/>
        <v>135236.22156527999</v>
      </c>
      <c r="I56" s="62">
        <f t="shared" si="12"/>
        <v>0</v>
      </c>
      <c r="J56" s="62">
        <f t="shared" si="12"/>
        <v>78235.830657600003</v>
      </c>
      <c r="K56" s="62">
        <f t="shared" si="14"/>
        <v>42166.080000000002</v>
      </c>
      <c r="L56" s="62"/>
    </row>
    <row r="57" spans="4:19" x14ac:dyDescent="0.3">
      <c r="D57" s="62">
        <v>15</v>
      </c>
      <c r="E57" s="62">
        <v>2</v>
      </c>
      <c r="F57" s="62">
        <f t="shared" si="13"/>
        <v>232346.28013740003</v>
      </c>
      <c r="G57" s="62">
        <f t="shared" si="12"/>
        <v>0</v>
      </c>
      <c r="H57" s="62">
        <f t="shared" si="12"/>
        <v>70299.643733880002</v>
      </c>
      <c r="I57" s="62">
        <f t="shared" si="12"/>
        <v>0</v>
      </c>
      <c r="J57" s="62">
        <f t="shared" si="12"/>
        <v>46469.256027479998</v>
      </c>
      <c r="K57" s="62">
        <f t="shared" si="14"/>
        <v>22476.959999999999</v>
      </c>
      <c r="L57" s="62"/>
    </row>
    <row r="58" spans="4:19" x14ac:dyDescent="0.3">
      <c r="D58" s="62">
        <v>17</v>
      </c>
      <c r="E58" s="62">
        <v>2.5</v>
      </c>
      <c r="F58" s="62">
        <f t="shared" si="13"/>
        <v>335984.83285949996</v>
      </c>
      <c r="G58" s="62">
        <f t="shared" si="12"/>
        <v>0</v>
      </c>
      <c r="H58" s="62">
        <f t="shared" si="12"/>
        <v>100795.44985784999</v>
      </c>
      <c r="I58" s="62">
        <f t="shared" si="12"/>
        <v>0</v>
      </c>
      <c r="J58" s="62">
        <f t="shared" si="12"/>
        <v>57325.247255924987</v>
      </c>
      <c r="K58" s="62">
        <f>K49+L49</f>
        <v>39204</v>
      </c>
      <c r="L58" s="62"/>
    </row>
    <row r="59" spans="4:19" x14ac:dyDescent="0.3">
      <c r="D59" s="62"/>
      <c r="E59" s="62">
        <v>22.5</v>
      </c>
      <c r="F59" s="74">
        <f t="shared" ref="F59:K59" si="15">SUM(F52:F58)</f>
        <v>2309806.1505518998</v>
      </c>
      <c r="G59" s="74">
        <f t="shared" si="15"/>
        <v>0</v>
      </c>
      <c r="H59" s="74">
        <f t="shared" si="15"/>
        <v>681190.13650280994</v>
      </c>
      <c r="I59" s="74">
        <f t="shared" si="15"/>
        <v>0</v>
      </c>
      <c r="J59" s="74">
        <f t="shared" si="15"/>
        <v>247449.52554745501</v>
      </c>
      <c r="K59" s="74">
        <f t="shared" si="15"/>
        <v>191620.44</v>
      </c>
      <c r="L59" s="74">
        <f>SUM(F59:K59)</f>
        <v>3430066.2526021646</v>
      </c>
    </row>
    <row r="60" spans="4:19" x14ac:dyDescent="0.3">
      <c r="D60" t="s">
        <v>82</v>
      </c>
    </row>
  </sheetData>
  <sortState xmlns:xlrd2="http://schemas.microsoft.com/office/spreadsheetml/2017/richdata2" ref="A4:Q34">
    <sortCondition ref="D4:D34"/>
  </sortState>
  <mergeCells count="10">
    <mergeCell ref="A3:Q3"/>
    <mergeCell ref="A1:A2"/>
    <mergeCell ref="B1:B2"/>
    <mergeCell ref="C1:C2"/>
    <mergeCell ref="D1:D2"/>
    <mergeCell ref="E1:E2"/>
    <mergeCell ref="F1:F2"/>
    <mergeCell ref="G1:L1"/>
    <mergeCell ref="M1:P1"/>
    <mergeCell ref="Q1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44"/>
  <sheetViews>
    <sheetView workbookViewId="0">
      <selection activeCell="F3" sqref="F3"/>
    </sheetView>
  </sheetViews>
  <sheetFormatPr defaultRowHeight="14.4" outlineLevelRow="2" x14ac:dyDescent="0.3"/>
  <sheetData>
    <row r="2" spans="3:17" x14ac:dyDescent="0.3">
      <c r="C2" t="s">
        <v>46</v>
      </c>
      <c r="D2" t="s">
        <v>51</v>
      </c>
      <c r="F2" t="s">
        <v>47</v>
      </c>
      <c r="H2" t="s">
        <v>48</v>
      </c>
      <c r="J2" t="s">
        <v>49</v>
      </c>
      <c r="O2" t="s">
        <v>50</v>
      </c>
    </row>
    <row r="3" spans="3:17" outlineLevel="2" x14ac:dyDescent="0.3">
      <c r="C3" s="14">
        <v>0.5</v>
      </c>
      <c r="D3" s="14">
        <v>11</v>
      </c>
      <c r="E3" s="15">
        <v>6268.9</v>
      </c>
      <c r="F3" s="15">
        <f>E3*C3</f>
        <v>3134.45</v>
      </c>
      <c r="G3" s="43">
        <v>5</v>
      </c>
      <c r="H3" s="15">
        <f>F3*G3/100</f>
        <v>156.7225</v>
      </c>
      <c r="I3" s="43">
        <v>10</v>
      </c>
      <c r="J3" s="15">
        <f>F3*I3/100</f>
        <v>313.44499999999999</v>
      </c>
      <c r="K3" s="15"/>
      <c r="L3" s="15"/>
      <c r="M3" s="15"/>
      <c r="N3" s="15"/>
      <c r="O3" s="15"/>
      <c r="P3" s="15"/>
      <c r="Q3" s="15">
        <f>F3+H3+J3</f>
        <v>3604.6174999999998</v>
      </c>
    </row>
    <row r="4" spans="3:17" outlineLevel="2" x14ac:dyDescent="0.3">
      <c r="C4" s="14">
        <v>0.5</v>
      </c>
      <c r="D4" s="14">
        <v>11</v>
      </c>
      <c r="E4" s="15">
        <v>6268.9</v>
      </c>
      <c r="F4" s="15">
        <f>E4*C4</f>
        <v>3134.45</v>
      </c>
      <c r="G4" s="43">
        <v>5</v>
      </c>
      <c r="H4" s="15">
        <f>F4*G4/100</f>
        <v>156.7225</v>
      </c>
      <c r="I4" s="43">
        <v>30</v>
      </c>
      <c r="J4" s="15">
        <f>F4*I4/100</f>
        <v>940.33500000000004</v>
      </c>
      <c r="K4" s="15"/>
      <c r="L4" s="15"/>
      <c r="M4" s="15"/>
      <c r="N4" s="15"/>
      <c r="O4" s="15"/>
      <c r="P4" s="15"/>
      <c r="Q4" s="15">
        <f>F4+H4+J4</f>
        <v>4231.5074999999997</v>
      </c>
    </row>
    <row r="5" spans="3:17" outlineLevel="1" x14ac:dyDescent="0.3">
      <c r="C5" s="14">
        <f>SUBTOTAL(9,C3:C4)</f>
        <v>1</v>
      </c>
      <c r="D5" s="37" t="s">
        <v>52</v>
      </c>
      <c r="E5" s="15"/>
      <c r="F5" s="15">
        <f>SUBTOTAL(9,F3:F4)</f>
        <v>6268.9</v>
      </c>
      <c r="G5" s="43"/>
      <c r="H5" s="15">
        <f>SUBTOTAL(9,H3:H4)</f>
        <v>313.44499999999999</v>
      </c>
      <c r="I5" s="43"/>
      <c r="J5" s="15">
        <f>SUBTOTAL(9,J3:J4)</f>
        <v>1253.78</v>
      </c>
      <c r="K5" s="15"/>
      <c r="L5" s="15"/>
      <c r="M5" s="15"/>
      <c r="N5" s="15"/>
      <c r="O5" s="15">
        <f>SUBTOTAL(9,O3:O4)</f>
        <v>0</v>
      </c>
      <c r="P5" s="15"/>
      <c r="Q5" s="15">
        <f>SUBTOTAL(9,Q3:Q4)</f>
        <v>7836.125</v>
      </c>
    </row>
    <row r="6" spans="3:17" outlineLevel="2" x14ac:dyDescent="0.3">
      <c r="C6" s="14">
        <v>0.5</v>
      </c>
      <c r="D6" s="14">
        <v>12</v>
      </c>
      <c r="E6" s="15">
        <v>6746.3</v>
      </c>
      <c r="F6" s="15">
        <f>E6*C6</f>
        <v>3373.15</v>
      </c>
      <c r="G6" s="43">
        <v>5</v>
      </c>
      <c r="H6" s="15">
        <f>F6*G6/100</f>
        <v>168.6575</v>
      </c>
      <c r="I6" s="43">
        <v>10</v>
      </c>
      <c r="J6" s="15">
        <f>F6*I6/100</f>
        <v>337.315</v>
      </c>
      <c r="K6" s="15"/>
      <c r="L6" s="15"/>
      <c r="M6" s="15"/>
      <c r="N6" s="15"/>
      <c r="O6" s="15"/>
      <c r="P6" s="15"/>
      <c r="Q6" s="15">
        <f>F6+H6+J6</f>
        <v>3879.1224999999999</v>
      </c>
    </row>
    <row r="7" spans="3:17" outlineLevel="2" x14ac:dyDescent="0.3">
      <c r="C7" s="14">
        <v>0.5</v>
      </c>
      <c r="D7" s="14">
        <v>12</v>
      </c>
      <c r="E7" s="15">
        <v>6746.3</v>
      </c>
      <c r="F7" s="15">
        <f>E7*C7</f>
        <v>3373.15</v>
      </c>
      <c r="G7" s="43">
        <v>5</v>
      </c>
      <c r="H7" s="15">
        <f>F7*G7/100</f>
        <v>168.6575</v>
      </c>
      <c r="I7" s="43">
        <v>30</v>
      </c>
      <c r="J7" s="15">
        <f>F7*I7/100</f>
        <v>1011.9450000000001</v>
      </c>
      <c r="K7" s="15"/>
      <c r="L7" s="15"/>
      <c r="M7" s="15"/>
      <c r="N7" s="15"/>
      <c r="O7" s="15"/>
      <c r="P7" s="15"/>
      <c r="Q7" s="15">
        <f>F7+H7+J7</f>
        <v>4553.7524999999996</v>
      </c>
    </row>
    <row r="8" spans="3:17" outlineLevel="2" x14ac:dyDescent="0.3">
      <c r="C8" s="14">
        <v>1</v>
      </c>
      <c r="D8" s="14">
        <v>12</v>
      </c>
      <c r="E8" s="15">
        <v>6746.3</v>
      </c>
      <c r="F8" s="15">
        <f>E8*C8</f>
        <v>6746.3</v>
      </c>
      <c r="G8" s="43">
        <v>5</v>
      </c>
      <c r="H8" s="15">
        <f>F8*G8/100</f>
        <v>337.315</v>
      </c>
      <c r="I8" s="43">
        <v>20</v>
      </c>
      <c r="J8" s="15">
        <f>F8*I8/100</f>
        <v>1349.26</v>
      </c>
      <c r="K8" s="15"/>
      <c r="L8" s="15"/>
      <c r="M8" s="15"/>
      <c r="N8" s="15"/>
      <c r="O8" s="15">
        <f>E8*0.2</f>
        <v>1349.2600000000002</v>
      </c>
      <c r="P8" s="15"/>
      <c r="Q8" s="15">
        <f>F8+H8+J8+O8</f>
        <v>9782.1350000000002</v>
      </c>
    </row>
    <row r="9" spans="3:17" outlineLevel="1" x14ac:dyDescent="0.3">
      <c r="C9" s="14">
        <f>SUBTOTAL(9,C6:C8)</f>
        <v>2</v>
      </c>
      <c r="D9" s="37" t="s">
        <v>53</v>
      </c>
      <c r="E9" s="15"/>
      <c r="F9" s="15">
        <f>SUBTOTAL(9,F6:F8)</f>
        <v>13492.6</v>
      </c>
      <c r="G9" s="43"/>
      <c r="H9" s="15">
        <f>SUBTOTAL(9,H6:H8)</f>
        <v>674.63</v>
      </c>
      <c r="I9" s="43"/>
      <c r="J9" s="15">
        <f>SUBTOTAL(9,J6:J8)</f>
        <v>2698.52</v>
      </c>
      <c r="K9" s="15"/>
      <c r="L9" s="15"/>
      <c r="M9" s="15"/>
      <c r="N9" s="15"/>
      <c r="O9" s="15">
        <f>SUBTOTAL(9,O6:O8)</f>
        <v>1349.2600000000002</v>
      </c>
      <c r="P9" s="15"/>
      <c r="Q9" s="15">
        <f>SUBTOTAL(9,Q6:Q8)</f>
        <v>18215.010000000002</v>
      </c>
    </row>
    <row r="10" spans="3:17" outlineLevel="2" x14ac:dyDescent="0.3">
      <c r="C10" s="14">
        <v>0.5</v>
      </c>
      <c r="D10" s="14">
        <v>13</v>
      </c>
      <c r="E10" s="15">
        <v>7223.7</v>
      </c>
      <c r="F10" s="15">
        <f>E10*C10</f>
        <v>3611.85</v>
      </c>
      <c r="G10" s="43">
        <v>5</v>
      </c>
      <c r="H10" s="15">
        <f>F10*G10/100</f>
        <v>180.5925</v>
      </c>
      <c r="I10" s="43">
        <v>30</v>
      </c>
      <c r="J10" s="15">
        <f>F10*I10/100</f>
        <v>1083.5550000000001</v>
      </c>
      <c r="K10" s="15"/>
      <c r="L10" s="15"/>
      <c r="M10" s="15"/>
      <c r="N10" s="15"/>
      <c r="O10" s="15"/>
      <c r="P10" s="15"/>
      <c r="Q10" s="15">
        <f>F10+H10+J10</f>
        <v>4875.9975000000004</v>
      </c>
    </row>
    <row r="11" spans="3:17" outlineLevel="1" x14ac:dyDescent="0.3">
      <c r="C11" s="14">
        <f>SUBTOTAL(9,C10:C10)</f>
        <v>0.5</v>
      </c>
      <c r="D11" s="37" t="s">
        <v>54</v>
      </c>
      <c r="E11" s="15"/>
      <c r="F11" s="15">
        <f>SUBTOTAL(9,F10:F10)</f>
        <v>3611.85</v>
      </c>
      <c r="G11" s="43"/>
      <c r="H11" s="15">
        <f>SUBTOTAL(9,H10:H10)</f>
        <v>180.5925</v>
      </c>
      <c r="I11" s="43"/>
      <c r="J11" s="15">
        <f>SUBTOTAL(9,J10:J10)</f>
        <v>1083.5550000000001</v>
      </c>
      <c r="K11" s="15"/>
      <c r="L11" s="15"/>
      <c r="M11" s="15"/>
      <c r="N11" s="15"/>
      <c r="O11" s="15">
        <f>SUBTOTAL(9,O10:O10)</f>
        <v>0</v>
      </c>
      <c r="P11" s="15"/>
      <c r="Q11" s="15">
        <f>SUBTOTAL(9,Q10:Q10)</f>
        <v>4875.9975000000004</v>
      </c>
    </row>
    <row r="12" spans="3:17" outlineLevel="2" x14ac:dyDescent="0.3">
      <c r="C12" s="14">
        <v>1</v>
      </c>
      <c r="D12" s="14">
        <v>17</v>
      </c>
      <c r="E12" s="15">
        <v>9546.9</v>
      </c>
      <c r="F12" s="15">
        <f>E12*C12</f>
        <v>9546.9</v>
      </c>
      <c r="G12" s="43">
        <v>20</v>
      </c>
      <c r="H12" s="15">
        <f>F12*G12/100</f>
        <v>1909.38</v>
      </c>
      <c r="I12" s="43">
        <v>30</v>
      </c>
      <c r="J12" s="15">
        <f>F12*I12/100</f>
        <v>2864.07</v>
      </c>
      <c r="K12" s="15"/>
      <c r="L12" s="15"/>
      <c r="M12" s="15"/>
      <c r="N12" s="15"/>
      <c r="O12" s="15"/>
      <c r="P12" s="15"/>
      <c r="Q12" s="15">
        <f>F12+H12+J12</f>
        <v>14320.349999999999</v>
      </c>
    </row>
    <row r="13" spans="3:17" outlineLevel="2" x14ac:dyDescent="0.3">
      <c r="C13" s="14">
        <v>1</v>
      </c>
      <c r="D13" s="14">
        <v>17</v>
      </c>
      <c r="E13" s="15">
        <f>E12*0.95</f>
        <v>9069.5549999999985</v>
      </c>
      <c r="F13" s="15">
        <f>E13*C13</f>
        <v>9069.5549999999985</v>
      </c>
      <c r="G13" s="43">
        <v>20</v>
      </c>
      <c r="H13" s="15">
        <f>F13*G13/100</f>
        <v>1813.9109999999998</v>
      </c>
      <c r="I13" s="43">
        <v>30</v>
      </c>
      <c r="J13" s="15">
        <f>F13*I13/100</f>
        <v>2720.8664999999996</v>
      </c>
      <c r="K13" s="15"/>
      <c r="L13" s="15"/>
      <c r="M13" s="15"/>
      <c r="N13" s="15"/>
      <c r="O13" s="15"/>
      <c r="P13" s="15"/>
      <c r="Q13" s="15">
        <f>F13+H13+J13</f>
        <v>13604.332499999999</v>
      </c>
    </row>
    <row r="14" spans="3:17" outlineLevel="2" x14ac:dyDescent="0.3">
      <c r="C14" s="14">
        <v>0.5</v>
      </c>
      <c r="D14" s="14">
        <v>17</v>
      </c>
      <c r="E14" s="15">
        <f>E13</f>
        <v>9069.5549999999985</v>
      </c>
      <c r="F14" s="15">
        <f>E14*C14</f>
        <v>4534.7774999999992</v>
      </c>
      <c r="G14" s="43">
        <v>5</v>
      </c>
      <c r="H14" s="15">
        <f>F14*G14/100</f>
        <v>226.73887499999998</v>
      </c>
      <c r="I14" s="43">
        <v>30</v>
      </c>
      <c r="J14" s="15">
        <f>F14*I14/100</f>
        <v>1360.4332499999998</v>
      </c>
      <c r="K14" s="15"/>
      <c r="L14" s="15"/>
      <c r="M14" s="15"/>
      <c r="N14" s="15"/>
      <c r="O14" s="15"/>
      <c r="P14" s="15"/>
      <c r="Q14" s="15">
        <f>F14+H14+J14</f>
        <v>6121.9496249999993</v>
      </c>
    </row>
    <row r="15" spans="3:17" outlineLevel="1" x14ac:dyDescent="0.3">
      <c r="C15" s="14">
        <f>SUBTOTAL(9,C12:C14)</f>
        <v>2.5</v>
      </c>
      <c r="D15" s="37" t="s">
        <v>55</v>
      </c>
      <c r="E15" s="15"/>
      <c r="F15" s="15">
        <f>SUBTOTAL(9,F12:F14)</f>
        <v>23151.232499999998</v>
      </c>
      <c r="G15" s="43"/>
      <c r="H15" s="15">
        <f>SUBTOTAL(9,H12:H14)</f>
        <v>3950.0298750000002</v>
      </c>
      <c r="I15" s="43"/>
      <c r="J15" s="15">
        <f>SUBTOTAL(9,J12:J14)</f>
        <v>6945.3697499999998</v>
      </c>
      <c r="K15" s="15"/>
      <c r="L15" s="15"/>
      <c r="M15" s="15"/>
      <c r="N15" s="15"/>
      <c r="O15" s="15">
        <f>SUBTOTAL(9,O12:O14)</f>
        <v>0</v>
      </c>
      <c r="P15" s="15"/>
      <c r="Q15" s="15">
        <f>SUBTOTAL(9,Q12:Q14)</f>
        <v>34046.632124999996</v>
      </c>
    </row>
    <row r="16" spans="3:17" x14ac:dyDescent="0.3">
      <c r="C16" s="14">
        <f>SUBTOTAL(9,C3:C14)</f>
        <v>6</v>
      </c>
      <c r="D16" s="37" t="s">
        <v>56</v>
      </c>
      <c r="E16" s="15"/>
      <c r="F16" s="15">
        <f>SUBTOTAL(9,F3:F14)</f>
        <v>46524.582499999997</v>
      </c>
      <c r="G16" s="43"/>
      <c r="H16" s="15">
        <f>SUBTOTAL(9,H3:H14)</f>
        <v>5118.6973749999997</v>
      </c>
      <c r="I16" s="43"/>
      <c r="J16" s="15">
        <f>SUBTOTAL(9,J3:J14)</f>
        <v>11981.224750000001</v>
      </c>
      <c r="K16" s="15"/>
      <c r="L16" s="15"/>
      <c r="M16" s="15"/>
      <c r="N16" s="15"/>
      <c r="O16" s="15">
        <f>SUBTOTAL(9,O3:O14)</f>
        <v>1349.2600000000002</v>
      </c>
      <c r="P16" s="15"/>
      <c r="Q16" s="15">
        <f>SUBTOTAL(9,Q3:Q14)</f>
        <v>64973.764624999996</v>
      </c>
    </row>
    <row r="17" spans="3:17" x14ac:dyDescent="0.3">
      <c r="C17" s="38">
        <v>6</v>
      </c>
      <c r="D17" s="39" t="s">
        <v>37</v>
      </c>
      <c r="E17" s="40" t="s">
        <v>37</v>
      </c>
      <c r="F17" s="38">
        <v>46524.582499999997</v>
      </c>
      <c r="G17" s="38"/>
      <c r="H17" s="38">
        <v>5118.6973749999997</v>
      </c>
      <c r="I17" s="38"/>
      <c r="J17" s="38">
        <v>11981.224749999999</v>
      </c>
      <c r="K17" s="38">
        <v>0</v>
      </c>
      <c r="L17" s="38">
        <v>0</v>
      </c>
      <c r="M17" s="38">
        <v>0</v>
      </c>
      <c r="N17" s="38">
        <v>0</v>
      </c>
      <c r="O17" s="38">
        <v>1349.2600000000002</v>
      </c>
      <c r="P17" s="38">
        <v>0</v>
      </c>
      <c r="Q17" s="38">
        <v>64973.764624999996</v>
      </c>
    </row>
    <row r="19" spans="3:17" x14ac:dyDescent="0.3">
      <c r="D19" t="s">
        <v>51</v>
      </c>
      <c r="F19" t="s">
        <v>47</v>
      </c>
      <c r="H19" t="s">
        <v>48</v>
      </c>
      <c r="J19" t="s">
        <v>49</v>
      </c>
      <c r="O19" t="s">
        <v>50</v>
      </c>
      <c r="Q19" t="s">
        <v>57</v>
      </c>
    </row>
    <row r="20" spans="3:17" x14ac:dyDescent="0.3">
      <c r="C20">
        <v>3.5</v>
      </c>
      <c r="D20" t="s">
        <v>59</v>
      </c>
      <c r="F20">
        <v>20270.25</v>
      </c>
      <c r="H20">
        <v>1013.5124999999999</v>
      </c>
      <c r="J20">
        <v>1158.3</v>
      </c>
      <c r="O20">
        <v>3474.8999999999996</v>
      </c>
      <c r="Q20">
        <v>25916.962500000001</v>
      </c>
    </row>
    <row r="21" spans="3:17" x14ac:dyDescent="0.3">
      <c r="C21">
        <v>2</v>
      </c>
      <c r="D21" t="s">
        <v>59</v>
      </c>
      <c r="F21">
        <v>11583</v>
      </c>
      <c r="H21">
        <v>579.15</v>
      </c>
      <c r="J21">
        <v>1737.45</v>
      </c>
      <c r="Q21">
        <v>13899.599999999999</v>
      </c>
    </row>
    <row r="22" spans="3:17" s="46" customFormat="1" x14ac:dyDescent="0.3">
      <c r="C22" s="46">
        <f>SUM(C20:C21)</f>
        <v>5.5</v>
      </c>
      <c r="F22" s="46">
        <f>SUM(F20:F21)</f>
        <v>31853.25</v>
      </c>
      <c r="H22" s="46">
        <f>SUM(H20:H21)</f>
        <v>1592.6624999999999</v>
      </c>
      <c r="J22" s="46">
        <f>SUM(J20:J21)</f>
        <v>2895.75</v>
      </c>
      <c r="O22" s="46">
        <f>SUM(O20:O21)</f>
        <v>3474.8999999999996</v>
      </c>
      <c r="Q22" s="46">
        <f>SUM(Q20:Q21)</f>
        <v>39816.5625</v>
      </c>
    </row>
    <row r="24" spans="3:17" x14ac:dyDescent="0.3">
      <c r="C24">
        <v>1</v>
      </c>
      <c r="D24" t="s">
        <v>52</v>
      </c>
      <c r="F24">
        <v>6268.9</v>
      </c>
      <c r="H24">
        <v>313.44499999999999</v>
      </c>
      <c r="J24">
        <v>1253.78</v>
      </c>
      <c r="O24">
        <v>0</v>
      </c>
      <c r="Q24">
        <v>7836.125</v>
      </c>
    </row>
    <row r="25" spans="3:17" x14ac:dyDescent="0.3">
      <c r="C25">
        <v>1.5</v>
      </c>
      <c r="D25" t="s">
        <v>52</v>
      </c>
      <c r="F25">
        <v>9403.3499999999985</v>
      </c>
      <c r="H25">
        <v>470.16750000000002</v>
      </c>
      <c r="J25">
        <v>940.33500000000004</v>
      </c>
      <c r="Q25">
        <v>10813.852499999999</v>
      </c>
    </row>
    <row r="26" spans="3:17" x14ac:dyDescent="0.3">
      <c r="C26">
        <v>0.75</v>
      </c>
      <c r="D26" t="s">
        <v>52</v>
      </c>
      <c r="F26">
        <v>4701.6749999999993</v>
      </c>
      <c r="H26">
        <v>235.08375000000001</v>
      </c>
      <c r="J26">
        <v>940.33500000000004</v>
      </c>
      <c r="O26">
        <v>0</v>
      </c>
      <c r="Q26">
        <v>5877.09375</v>
      </c>
    </row>
    <row r="27" spans="3:17" x14ac:dyDescent="0.3">
      <c r="C27">
        <v>0.75</v>
      </c>
      <c r="D27" t="s">
        <v>52</v>
      </c>
      <c r="F27">
        <v>4701.6749999999993</v>
      </c>
      <c r="H27">
        <v>235.08375000000001</v>
      </c>
      <c r="J27">
        <v>940.33500000000004</v>
      </c>
      <c r="Q27">
        <v>5877.09375</v>
      </c>
    </row>
    <row r="28" spans="3:17" s="46" customFormat="1" x14ac:dyDescent="0.3">
      <c r="C28" s="46">
        <f>SUM(C24:C27)</f>
        <v>4</v>
      </c>
      <c r="F28" s="46">
        <f>SUM(F24:F27)</f>
        <v>25075.599999999995</v>
      </c>
      <c r="H28" s="46">
        <f>SUM(H24:H27)</f>
        <v>1253.78</v>
      </c>
      <c r="J28" s="46">
        <f>SUM(J24:J27)</f>
        <v>4074.7849999999999</v>
      </c>
      <c r="O28" s="46">
        <f>SUM(O24:O27)</f>
        <v>0</v>
      </c>
      <c r="Q28" s="46">
        <f>SUM(Q24:Q27)</f>
        <v>30404.165000000001</v>
      </c>
    </row>
    <row r="29" spans="3:17" x14ac:dyDescent="0.3">
      <c r="C29">
        <v>2</v>
      </c>
      <c r="D29" t="s">
        <v>53</v>
      </c>
      <c r="F29">
        <v>13492.6</v>
      </c>
      <c r="H29">
        <v>674.63</v>
      </c>
      <c r="J29">
        <v>2698.52</v>
      </c>
      <c r="O29">
        <v>1349.2600000000002</v>
      </c>
      <c r="Q29">
        <v>18215.010000000002</v>
      </c>
    </row>
    <row r="30" spans="3:17" x14ac:dyDescent="0.3">
      <c r="C30">
        <v>0.75</v>
      </c>
      <c r="D30" t="s">
        <v>53</v>
      </c>
      <c r="F30">
        <v>5059.7250000000004</v>
      </c>
      <c r="H30">
        <v>252.98624999999998</v>
      </c>
      <c r="J30">
        <v>1180.6025</v>
      </c>
      <c r="Q30">
        <v>6493.3137499999993</v>
      </c>
    </row>
    <row r="31" spans="3:17" x14ac:dyDescent="0.3">
      <c r="C31">
        <v>1</v>
      </c>
      <c r="D31" t="s">
        <v>53</v>
      </c>
      <c r="F31">
        <v>6746.3</v>
      </c>
      <c r="H31">
        <v>337.315</v>
      </c>
      <c r="J31">
        <v>1349.26</v>
      </c>
      <c r="O31">
        <v>1349.2600000000002</v>
      </c>
      <c r="Q31">
        <v>9782.1350000000002</v>
      </c>
    </row>
    <row r="32" spans="3:17" x14ac:dyDescent="0.3">
      <c r="C32">
        <v>0.5</v>
      </c>
      <c r="D32" t="s">
        <v>53</v>
      </c>
      <c r="F32">
        <v>3373.15</v>
      </c>
      <c r="H32">
        <v>168.6575</v>
      </c>
      <c r="J32">
        <v>337.315</v>
      </c>
      <c r="Q32">
        <v>3879.1224999999999</v>
      </c>
    </row>
    <row r="33" spans="3:17" s="46" customFormat="1" x14ac:dyDescent="0.3">
      <c r="C33" s="46">
        <f>SUM(C29:C32)</f>
        <v>4.25</v>
      </c>
      <c r="F33" s="46">
        <f>SUM(F29:F32)</f>
        <v>28671.775000000001</v>
      </c>
      <c r="H33" s="46">
        <f>SUM(H29:H32)</f>
        <v>1433.5887500000001</v>
      </c>
      <c r="J33" s="46">
        <f>SUM(J29:J32)</f>
        <v>5565.6974999999993</v>
      </c>
      <c r="O33" s="46">
        <f>SUM(O29:O32)</f>
        <v>2698.5200000000004</v>
      </c>
      <c r="Q33" s="46">
        <f>SUM(Q29:Q32)</f>
        <v>38369.581250000003</v>
      </c>
    </row>
    <row r="34" spans="3:17" x14ac:dyDescent="0.3">
      <c r="C34">
        <v>0.5</v>
      </c>
      <c r="D34" t="s">
        <v>54</v>
      </c>
      <c r="F34">
        <v>3611.85</v>
      </c>
      <c r="H34">
        <v>180.5925</v>
      </c>
      <c r="J34">
        <v>1083.5550000000001</v>
      </c>
      <c r="O34">
        <v>0</v>
      </c>
      <c r="Q34">
        <v>4875.9975000000004</v>
      </c>
    </row>
    <row r="35" spans="3:17" x14ac:dyDescent="0.3">
      <c r="C35">
        <v>1</v>
      </c>
      <c r="D35" t="s">
        <v>54</v>
      </c>
      <c r="F35">
        <v>7223.7</v>
      </c>
      <c r="H35">
        <v>361.185</v>
      </c>
      <c r="J35">
        <v>2167.11</v>
      </c>
      <c r="Q35">
        <v>9751.9950000000008</v>
      </c>
    </row>
    <row r="36" spans="3:17" s="46" customFormat="1" x14ac:dyDescent="0.3">
      <c r="C36" s="46">
        <f>SUM(C34:C35)</f>
        <v>1.5</v>
      </c>
      <c r="F36" s="46">
        <f>SUM(F34:F35)</f>
        <v>10835.55</v>
      </c>
      <c r="H36" s="46">
        <f>SUM(H34:H35)</f>
        <v>541.77750000000003</v>
      </c>
      <c r="J36" s="46">
        <f>SUM(J34:J35)</f>
        <v>3250.665</v>
      </c>
      <c r="O36" s="46">
        <f>SUM(O34:O35)</f>
        <v>0</v>
      </c>
      <c r="Q36" s="46">
        <f>SUM(Q34:Q35)</f>
        <v>14627.9925</v>
      </c>
    </row>
    <row r="37" spans="3:17" s="46" customFormat="1" x14ac:dyDescent="0.3">
      <c r="C37" s="46">
        <v>1.5</v>
      </c>
      <c r="D37" s="46" t="s">
        <v>60</v>
      </c>
      <c r="F37" s="46">
        <v>11359.122500000001</v>
      </c>
      <c r="H37" s="46">
        <v>2271.8244999999997</v>
      </c>
      <c r="J37" s="46">
        <v>2271.8244999999997</v>
      </c>
      <c r="O37" s="46">
        <v>0</v>
      </c>
      <c r="Q37" s="46">
        <v>15902.771499999999</v>
      </c>
    </row>
    <row r="38" spans="3:17" s="46" customFormat="1" x14ac:dyDescent="0.3"/>
    <row r="39" spans="3:17" s="46" customFormat="1" x14ac:dyDescent="0.3">
      <c r="C39" s="46">
        <v>2.5</v>
      </c>
      <c r="D39" s="46" t="s">
        <v>58</v>
      </c>
      <c r="F39" s="46">
        <v>19704.96</v>
      </c>
      <c r="H39" s="46">
        <v>3386.7899999999995</v>
      </c>
      <c r="J39" s="46">
        <v>3571.5239999999994</v>
      </c>
      <c r="Q39" s="46">
        <v>26663.273999999998</v>
      </c>
    </row>
    <row r="40" spans="3:17" s="46" customFormat="1" x14ac:dyDescent="0.3"/>
    <row r="41" spans="3:17" s="46" customFormat="1" x14ac:dyDescent="0.3">
      <c r="C41" s="46">
        <v>2.5</v>
      </c>
      <c r="D41" s="46" t="s">
        <v>61</v>
      </c>
      <c r="F41" s="46">
        <v>20863.535</v>
      </c>
      <c r="H41" s="46">
        <v>3573.43525</v>
      </c>
      <c r="J41" s="46">
        <v>5460.0315000000001</v>
      </c>
      <c r="Q41" s="46">
        <v>29897.001750000003</v>
      </c>
    </row>
    <row r="42" spans="3:17" s="46" customFormat="1" x14ac:dyDescent="0.3"/>
    <row r="43" spans="3:17" s="46" customFormat="1" x14ac:dyDescent="0.3">
      <c r="C43" s="46">
        <v>2.5</v>
      </c>
      <c r="D43" s="46" t="s">
        <v>55</v>
      </c>
      <c r="F43" s="46">
        <v>23151.232499999998</v>
      </c>
      <c r="H43" s="46">
        <v>3950.0298750000002</v>
      </c>
      <c r="J43" s="46">
        <v>6945.3697499999998</v>
      </c>
      <c r="O43" s="46">
        <v>0</v>
      </c>
      <c r="Q43" s="46">
        <v>34046.632124999996</v>
      </c>
    </row>
    <row r="44" spans="3:17" x14ac:dyDescent="0.3">
      <c r="C44">
        <f>C22+C28+C33+C36+C37+C39+C41+C43</f>
        <v>24.25</v>
      </c>
      <c r="E44">
        <f t="shared" ref="E44:Q44" si="0">E22+E28+E33+E36+E37+E39+E41+E43</f>
        <v>0</v>
      </c>
      <c r="F44">
        <f t="shared" si="0"/>
        <v>171515.02500000002</v>
      </c>
      <c r="G44">
        <f t="shared" si="0"/>
        <v>0</v>
      </c>
      <c r="H44">
        <f t="shared" si="0"/>
        <v>18003.888375000002</v>
      </c>
      <c r="I44">
        <f t="shared" si="0"/>
        <v>0</v>
      </c>
      <c r="J44">
        <f t="shared" si="0"/>
        <v>34035.647250000002</v>
      </c>
      <c r="K44">
        <f t="shared" si="0"/>
        <v>0</v>
      </c>
      <c r="L44">
        <f t="shared" si="0"/>
        <v>0</v>
      </c>
      <c r="M44">
        <f t="shared" si="0"/>
        <v>0</v>
      </c>
      <c r="N44">
        <f t="shared" si="0"/>
        <v>0</v>
      </c>
      <c r="O44">
        <f t="shared" si="0"/>
        <v>6173.42</v>
      </c>
      <c r="P44">
        <f t="shared" si="0"/>
        <v>0</v>
      </c>
      <c r="Q44">
        <f t="shared" si="0"/>
        <v>229727.98062500003</v>
      </c>
    </row>
  </sheetData>
  <sortState xmlns:xlrd2="http://schemas.microsoft.com/office/spreadsheetml/2017/richdata2" ref="C3:Q11">
    <sortCondition ref="D3:D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29"/>
  <sheetViews>
    <sheetView workbookViewId="0">
      <selection activeCell="H15" sqref="H15"/>
    </sheetView>
  </sheetViews>
  <sheetFormatPr defaultRowHeight="14.4" x14ac:dyDescent="0.3"/>
  <cols>
    <col min="5" max="5" width="9.5546875" bestFit="1" customWidth="1"/>
    <col min="16" max="16" width="9.5546875" bestFit="1" customWidth="1"/>
  </cols>
  <sheetData>
    <row r="2" spans="2:16" x14ac:dyDescent="0.3">
      <c r="B2" t="s">
        <v>46</v>
      </c>
      <c r="C2" t="s">
        <v>51</v>
      </c>
      <c r="E2" t="s">
        <v>47</v>
      </c>
      <c r="G2" t="s">
        <v>48</v>
      </c>
      <c r="I2" t="s">
        <v>49</v>
      </c>
      <c r="N2" t="s">
        <v>50</v>
      </c>
    </row>
    <row r="3" spans="2:16" x14ac:dyDescent="0.3">
      <c r="B3" s="14">
        <v>0.5</v>
      </c>
      <c r="C3" s="14">
        <v>11</v>
      </c>
      <c r="D3" s="15">
        <v>6268.9</v>
      </c>
      <c r="E3" s="15">
        <f>D3*B3</f>
        <v>3134.45</v>
      </c>
      <c r="F3" s="43">
        <v>5</v>
      </c>
      <c r="G3" s="15">
        <f>E3*F3/100</f>
        <v>156.7225</v>
      </c>
      <c r="H3" s="43">
        <v>10</v>
      </c>
      <c r="I3" s="15">
        <f>E3*H3/100</f>
        <v>313.44499999999999</v>
      </c>
      <c r="J3" s="15"/>
      <c r="K3" s="15"/>
      <c r="L3" s="15"/>
      <c r="M3" s="15"/>
      <c r="N3" s="15"/>
      <c r="O3" s="15"/>
      <c r="P3" s="15">
        <f>E3+G3+I3</f>
        <v>3604.6174999999998</v>
      </c>
    </row>
    <row r="4" spans="2:16" x14ac:dyDescent="0.3">
      <c r="B4" s="14">
        <v>0.5</v>
      </c>
      <c r="C4" s="14">
        <v>11</v>
      </c>
      <c r="D4" s="15">
        <v>6268.9</v>
      </c>
      <c r="E4" s="15">
        <f>D4*B4</f>
        <v>3134.45</v>
      </c>
      <c r="F4" s="43">
        <v>5</v>
      </c>
      <c r="G4" s="15">
        <f>E4*F4/100</f>
        <v>156.7225</v>
      </c>
      <c r="H4" s="43">
        <v>30</v>
      </c>
      <c r="I4" s="15">
        <f>E4*H4/100</f>
        <v>940.33500000000004</v>
      </c>
      <c r="J4" s="15"/>
      <c r="K4" s="15"/>
      <c r="L4" s="15"/>
      <c r="M4" s="15"/>
      <c r="N4" s="15"/>
      <c r="O4" s="15"/>
      <c r="P4" s="15">
        <f>E4+G4+I4</f>
        <v>4231.5074999999997</v>
      </c>
    </row>
    <row r="5" spans="2:16" x14ac:dyDescent="0.3">
      <c r="B5" s="14">
        <f>SUBTOTAL(9,B3:B4)</f>
        <v>1</v>
      </c>
      <c r="C5" s="37" t="s">
        <v>52</v>
      </c>
      <c r="D5" s="15"/>
      <c r="E5" s="15">
        <f>SUBTOTAL(9,E3:E4)</f>
        <v>6268.9</v>
      </c>
      <c r="F5" s="43"/>
      <c r="G5" s="15">
        <f>SUBTOTAL(9,G3:G4)</f>
        <v>313.44499999999999</v>
      </c>
      <c r="H5" s="43"/>
      <c r="I5" s="15">
        <f>SUBTOTAL(9,I3:I4)</f>
        <v>1253.78</v>
      </c>
      <c r="J5" s="15"/>
      <c r="K5" s="15"/>
      <c r="L5" s="15"/>
      <c r="M5" s="15"/>
      <c r="N5" s="15">
        <f>SUBTOTAL(9,N3:N4)</f>
        <v>0</v>
      </c>
      <c r="O5" s="15"/>
      <c r="P5" s="15">
        <f>SUBTOTAL(9,P3:P4)</f>
        <v>7836.125</v>
      </c>
    </row>
    <row r="6" spans="2:16" x14ac:dyDescent="0.3">
      <c r="B6" s="14">
        <v>0.5</v>
      </c>
      <c r="C6" s="14">
        <v>12</v>
      </c>
      <c r="D6" s="15">
        <v>6746.3</v>
      </c>
      <c r="E6" s="15">
        <f>D6*B6</f>
        <v>3373.15</v>
      </c>
      <c r="F6" s="43">
        <v>5</v>
      </c>
      <c r="G6" s="15">
        <f>E6*F6/100</f>
        <v>168.6575</v>
      </c>
      <c r="H6" s="43">
        <v>10</v>
      </c>
      <c r="I6" s="15">
        <f>E6*H6/100</f>
        <v>337.315</v>
      </c>
      <c r="J6" s="15"/>
      <c r="K6" s="15"/>
      <c r="L6" s="15"/>
      <c r="M6" s="15"/>
      <c r="N6" s="15"/>
      <c r="O6" s="15"/>
      <c r="P6" s="15">
        <f>E6+G6+I6</f>
        <v>3879.1224999999999</v>
      </c>
    </row>
    <row r="7" spans="2:16" x14ac:dyDescent="0.3">
      <c r="B7" s="14">
        <v>0.5</v>
      </c>
      <c r="C7" s="14">
        <v>12</v>
      </c>
      <c r="D7" s="15">
        <v>6746.3</v>
      </c>
      <c r="E7" s="15">
        <f>D7*B7</f>
        <v>3373.15</v>
      </c>
      <c r="F7" s="43">
        <v>5</v>
      </c>
      <c r="G7" s="15">
        <f>E7*F7/100</f>
        <v>168.6575</v>
      </c>
      <c r="H7" s="43">
        <v>30</v>
      </c>
      <c r="I7" s="15">
        <f>E7*H7/100</f>
        <v>1011.9450000000001</v>
      </c>
      <c r="J7" s="15"/>
      <c r="K7" s="15"/>
      <c r="L7" s="15"/>
      <c r="M7" s="15"/>
      <c r="N7" s="15"/>
      <c r="O7" s="15"/>
      <c r="P7" s="15">
        <f>E7+G7+I7</f>
        <v>4553.7524999999996</v>
      </c>
    </row>
    <row r="8" spans="2:16" x14ac:dyDescent="0.3">
      <c r="B8" s="14">
        <v>1</v>
      </c>
      <c r="C8" s="14">
        <v>12</v>
      </c>
      <c r="D8" s="15">
        <v>6746.3</v>
      </c>
      <c r="E8" s="15">
        <f>D8*B8</f>
        <v>6746.3</v>
      </c>
      <c r="F8" s="43">
        <v>5</v>
      </c>
      <c r="G8" s="15">
        <f>E8*F8/100</f>
        <v>337.315</v>
      </c>
      <c r="H8" s="43">
        <v>20</v>
      </c>
      <c r="I8" s="15">
        <f>E8*H8/100</f>
        <v>1349.26</v>
      </c>
      <c r="J8" s="15"/>
      <c r="K8" s="15"/>
      <c r="L8" s="15"/>
      <c r="M8" s="15"/>
      <c r="N8" s="15">
        <f>D8*0.2</f>
        <v>1349.2600000000002</v>
      </c>
      <c r="O8" s="15"/>
      <c r="P8" s="15">
        <f>E8+G8+I8+N8</f>
        <v>9782.1350000000002</v>
      </c>
    </row>
    <row r="9" spans="2:16" x14ac:dyDescent="0.3">
      <c r="B9" s="14">
        <f>SUBTOTAL(9,B6:B8)</f>
        <v>2</v>
      </c>
      <c r="C9" s="37" t="s">
        <v>53</v>
      </c>
      <c r="D9" s="15"/>
      <c r="E9" s="15">
        <f>SUBTOTAL(9,E6:E8)</f>
        <v>13492.6</v>
      </c>
      <c r="F9" s="43"/>
      <c r="G9" s="15">
        <f>SUBTOTAL(9,G6:G8)</f>
        <v>674.63</v>
      </c>
      <c r="H9" s="43"/>
      <c r="I9" s="15">
        <f>SUBTOTAL(9,I6:I8)</f>
        <v>2698.52</v>
      </c>
      <c r="J9" s="15"/>
      <c r="K9" s="15"/>
      <c r="L9" s="15"/>
      <c r="M9" s="15"/>
      <c r="N9" s="15">
        <f>SUBTOTAL(9,N6:N8)</f>
        <v>1349.2600000000002</v>
      </c>
      <c r="O9" s="15"/>
      <c r="P9" s="15">
        <f>SUBTOTAL(9,P6:P8)</f>
        <v>18215.010000000002</v>
      </c>
    </row>
    <row r="10" spans="2:16" x14ac:dyDescent="0.3">
      <c r="B10" s="14">
        <v>0.5</v>
      </c>
      <c r="C10" s="14">
        <v>13</v>
      </c>
      <c r="D10" s="15">
        <v>7223.7</v>
      </c>
      <c r="E10" s="15">
        <f>D10*B10</f>
        <v>3611.85</v>
      </c>
      <c r="F10" s="43">
        <v>5</v>
      </c>
      <c r="G10" s="15">
        <f>E10*F10/100</f>
        <v>180.5925</v>
      </c>
      <c r="H10" s="43">
        <v>30</v>
      </c>
      <c r="I10" s="15">
        <f>E10*H10/100</f>
        <v>1083.5550000000001</v>
      </c>
      <c r="J10" s="15"/>
      <c r="K10" s="15"/>
      <c r="L10" s="15"/>
      <c r="M10" s="15"/>
      <c r="N10" s="15"/>
      <c r="O10" s="15"/>
      <c r="P10" s="15">
        <f>E10+G10+I10</f>
        <v>4875.9975000000004</v>
      </c>
    </row>
    <row r="11" spans="2:16" x14ac:dyDescent="0.3">
      <c r="B11" s="14">
        <f>SUBTOTAL(9,B10:B10)</f>
        <v>0.5</v>
      </c>
      <c r="C11" s="37" t="s">
        <v>54</v>
      </c>
      <c r="D11" s="15"/>
      <c r="E11" s="15">
        <f>SUBTOTAL(9,E10:E10)</f>
        <v>3611.85</v>
      </c>
      <c r="F11" s="43"/>
      <c r="G11" s="15">
        <f>SUBTOTAL(9,G10:G10)</f>
        <v>180.5925</v>
      </c>
      <c r="H11" s="43"/>
      <c r="I11" s="15">
        <f>SUBTOTAL(9,I10:I10)</f>
        <v>1083.5550000000001</v>
      </c>
      <c r="J11" s="15"/>
      <c r="K11" s="15"/>
      <c r="L11" s="15"/>
      <c r="M11" s="15"/>
      <c r="N11" s="15">
        <f>SUBTOTAL(9,N10:N10)</f>
        <v>0</v>
      </c>
      <c r="O11" s="15"/>
      <c r="P11" s="15">
        <f>SUBTOTAL(9,P10:P10)</f>
        <v>4875.9975000000004</v>
      </c>
    </row>
    <row r="12" spans="2:16" x14ac:dyDescent="0.3">
      <c r="B12" s="14">
        <v>1</v>
      </c>
      <c r="C12" s="14">
        <v>17</v>
      </c>
      <c r="D12" s="15">
        <v>9546.9</v>
      </c>
      <c r="E12" s="15">
        <f>D12*B12</f>
        <v>9546.9</v>
      </c>
      <c r="F12" s="43">
        <v>20</v>
      </c>
      <c r="G12" s="15">
        <f>E12*F12/100</f>
        <v>1909.38</v>
      </c>
      <c r="H12" s="43">
        <v>30</v>
      </c>
      <c r="I12" s="15">
        <f>E12*H12/100</f>
        <v>2864.07</v>
      </c>
      <c r="J12" s="15"/>
      <c r="K12" s="15"/>
      <c r="L12" s="15"/>
      <c r="M12" s="15"/>
      <c r="N12" s="15"/>
      <c r="O12" s="15"/>
      <c r="P12" s="15">
        <f>E12+G12+I12</f>
        <v>14320.349999999999</v>
      </c>
    </row>
    <row r="13" spans="2:16" x14ac:dyDescent="0.3">
      <c r="B13" s="14">
        <v>1</v>
      </c>
      <c r="C13" s="14">
        <v>17</v>
      </c>
      <c r="D13" s="15">
        <f>D12*0.95</f>
        <v>9069.5549999999985</v>
      </c>
      <c r="E13" s="15">
        <f>D13*B13</f>
        <v>9069.5549999999985</v>
      </c>
      <c r="F13" s="43">
        <v>20</v>
      </c>
      <c r="G13" s="15">
        <f>E13*F13/100</f>
        <v>1813.9109999999998</v>
      </c>
      <c r="H13" s="43">
        <v>30</v>
      </c>
      <c r="I13" s="15">
        <f>E13*H13/100</f>
        <v>2720.8664999999996</v>
      </c>
      <c r="J13" s="15"/>
      <c r="K13" s="15"/>
      <c r="L13" s="15"/>
      <c r="M13" s="15"/>
      <c r="N13" s="15"/>
      <c r="O13" s="15"/>
      <c r="P13" s="15">
        <f>E13+G13+I13</f>
        <v>13604.332499999999</v>
      </c>
    </row>
    <row r="14" spans="2:16" x14ac:dyDescent="0.3">
      <c r="B14" s="14">
        <v>0.5</v>
      </c>
      <c r="C14" s="14">
        <v>17</v>
      </c>
      <c r="D14" s="15">
        <f>D13</f>
        <v>9069.5549999999985</v>
      </c>
      <c r="E14" s="15">
        <f>D14*B14</f>
        <v>4534.7774999999992</v>
      </c>
      <c r="F14" s="43">
        <v>5</v>
      </c>
      <c r="G14" s="15">
        <f>E14*F14/100</f>
        <v>226.73887499999998</v>
      </c>
      <c r="H14" s="43">
        <v>30</v>
      </c>
      <c r="I14" s="15">
        <f>E14*H14/100</f>
        <v>1360.4332499999998</v>
      </c>
      <c r="J14" s="15"/>
      <c r="K14" s="15"/>
      <c r="L14" s="15"/>
      <c r="M14" s="15"/>
      <c r="N14" s="15"/>
      <c r="O14" s="15"/>
      <c r="P14" s="15">
        <f>E14+G14+I14</f>
        <v>6121.9496249999993</v>
      </c>
    </row>
    <row r="15" spans="2:16" x14ac:dyDescent="0.3">
      <c r="B15" s="14">
        <f>SUBTOTAL(9,B12:B14)</f>
        <v>2.5</v>
      </c>
      <c r="C15" s="37" t="s">
        <v>55</v>
      </c>
      <c r="D15" s="15"/>
      <c r="E15" s="15">
        <f>SUBTOTAL(9,E12:E14)</f>
        <v>23151.232499999998</v>
      </c>
      <c r="F15" s="43"/>
      <c r="G15" s="15">
        <f>SUBTOTAL(9,G12:G14)</f>
        <v>3950.0298750000002</v>
      </c>
      <c r="H15" s="43"/>
      <c r="I15" s="15">
        <f>SUBTOTAL(9,I12:I14)</f>
        <v>6945.3697499999998</v>
      </c>
      <c r="J15" s="15"/>
      <c r="K15" s="15"/>
      <c r="L15" s="15"/>
      <c r="M15" s="15"/>
      <c r="N15" s="15">
        <f>SUBTOTAL(9,N12:N14)</f>
        <v>0</v>
      </c>
      <c r="O15" s="15"/>
      <c r="P15" s="15">
        <f>SUBTOTAL(9,P12:P14)</f>
        <v>34046.632124999996</v>
      </c>
    </row>
    <row r="16" spans="2:16" x14ac:dyDescent="0.3">
      <c r="B16" s="14">
        <f>SUBTOTAL(9,B3:B14)</f>
        <v>6</v>
      </c>
      <c r="C16" s="37" t="s">
        <v>56</v>
      </c>
      <c r="D16" s="15"/>
      <c r="E16" s="15">
        <f>SUBTOTAL(9,E3:E14)</f>
        <v>46524.582499999997</v>
      </c>
      <c r="F16" s="43"/>
      <c r="G16" s="15">
        <f>SUBTOTAL(9,G3:G14)</f>
        <v>5118.6973749999997</v>
      </c>
      <c r="H16" s="43"/>
      <c r="I16" s="15">
        <f>SUBTOTAL(9,I3:I14)</f>
        <v>11981.224750000001</v>
      </c>
      <c r="J16" s="15"/>
      <c r="K16" s="15"/>
      <c r="L16" s="15"/>
      <c r="M16" s="15"/>
      <c r="N16" s="15">
        <f>SUBTOTAL(9,N3:N14)</f>
        <v>1349.2600000000002</v>
      </c>
      <c r="O16" s="15"/>
      <c r="P16" s="15">
        <f>SUBTOTAL(9,P3:P14)</f>
        <v>64973.764624999996</v>
      </c>
    </row>
    <row r="17" spans="1:16" x14ac:dyDescent="0.3">
      <c r="A17" t="s">
        <v>63</v>
      </c>
      <c r="B17" s="38">
        <v>6</v>
      </c>
      <c r="C17" s="39" t="s">
        <v>37</v>
      </c>
      <c r="D17" s="40" t="s">
        <v>37</v>
      </c>
      <c r="E17" s="38">
        <v>46524.582499999997</v>
      </c>
      <c r="F17" s="38"/>
      <c r="G17" s="38">
        <v>5118.6973749999997</v>
      </c>
      <c r="H17" s="38"/>
      <c r="I17" s="38">
        <v>11981.224749999999</v>
      </c>
      <c r="J17" s="38">
        <v>0</v>
      </c>
      <c r="K17" s="38">
        <v>0</v>
      </c>
      <c r="L17" s="38">
        <v>0</v>
      </c>
      <c r="M17" s="38">
        <v>0</v>
      </c>
      <c r="N17" s="38">
        <v>1349.2600000000002</v>
      </c>
      <c r="O17" s="38">
        <v>0</v>
      </c>
      <c r="P17" s="38">
        <v>64973.764624999996</v>
      </c>
    </row>
    <row r="18" spans="1:16" x14ac:dyDescent="0.3">
      <c r="A18" t="s">
        <v>64</v>
      </c>
    </row>
    <row r="20" spans="1:16" x14ac:dyDescent="0.3">
      <c r="E20" t="s">
        <v>62</v>
      </c>
      <c r="F20" t="s">
        <v>66</v>
      </c>
      <c r="G20" s="50" t="s">
        <v>67</v>
      </c>
      <c r="I20" t="s">
        <v>65</v>
      </c>
      <c r="J20" t="s">
        <v>68</v>
      </c>
    </row>
    <row r="21" spans="1:16" x14ac:dyDescent="0.3">
      <c r="B21">
        <v>11</v>
      </c>
      <c r="C21">
        <v>20</v>
      </c>
      <c r="D21">
        <v>1.1111111111111112</v>
      </c>
      <c r="E21">
        <v>7204.1444444444442</v>
      </c>
      <c r="F21">
        <v>2067.7188888888891</v>
      </c>
      <c r="G21" s="48">
        <f>F21-I5</f>
        <v>813.9388888888891</v>
      </c>
      <c r="I21">
        <v>842.30972222222226</v>
      </c>
      <c r="J21" s="48">
        <f>I21-G5</f>
        <v>528.86472222222233</v>
      </c>
    </row>
    <row r="22" spans="1:16" x14ac:dyDescent="0.3">
      <c r="B22">
        <v>12</v>
      </c>
      <c r="C22">
        <v>21.5</v>
      </c>
      <c r="D22">
        <v>1.1944444444444444</v>
      </c>
      <c r="E22">
        <v>8058.0805555555562</v>
      </c>
      <c r="F22">
        <v>8564.0530555555561</v>
      </c>
      <c r="G22" s="48">
        <f>F22-I9-N9</f>
        <v>4516.2730555555554</v>
      </c>
      <c r="I22">
        <v>908.87652777777794</v>
      </c>
      <c r="J22" s="48">
        <f>I22-G9</f>
        <v>234.24652777777794</v>
      </c>
    </row>
    <row r="23" spans="1:16" x14ac:dyDescent="0.3">
      <c r="B23">
        <v>13</v>
      </c>
      <c r="C23">
        <v>96.5</v>
      </c>
      <c r="D23">
        <v>5.3611111111111107</v>
      </c>
      <c r="E23">
        <v>38196.613888888882</v>
      </c>
      <c r="F23">
        <v>16926.521944444445</v>
      </c>
      <c r="G23" s="48">
        <f>F23-I11</f>
        <v>15842.966944444444</v>
      </c>
      <c r="I23">
        <v>4238.1640277777778</v>
      </c>
      <c r="J23" s="48">
        <f>I23-G11</f>
        <v>4057.5715277777776</v>
      </c>
    </row>
    <row r="24" spans="1:16" x14ac:dyDescent="0.3">
      <c r="B24">
        <v>14</v>
      </c>
      <c r="C24">
        <v>192.5</v>
      </c>
      <c r="D24">
        <v>10.694444444444445</v>
      </c>
      <c r="E24">
        <v>85460.818055555559</v>
      </c>
      <c r="F24">
        <f>49811.6706388889+783.61</f>
        <v>50595.2806388889</v>
      </c>
      <c r="G24" s="48">
        <f>F24-I15</f>
        <v>43649.910888888902</v>
      </c>
      <c r="I24">
        <v>11028.454861111111</v>
      </c>
      <c r="J24" s="48">
        <f>I24-G15</f>
        <v>7078.4249861111111</v>
      </c>
    </row>
    <row r="25" spans="1:16" s="46" customFormat="1" x14ac:dyDescent="0.3">
      <c r="C25" s="46">
        <f>SUM(C21:C24)</f>
        <v>330.5</v>
      </c>
      <c r="D25" s="46">
        <f>SUM(D21:D24)</f>
        <v>18.361111111111111</v>
      </c>
      <c r="E25" s="46">
        <f>SUM(E21:E24)</f>
        <v>138919.65694444443</v>
      </c>
      <c r="F25" s="46">
        <f>SUM(F21:F24)</f>
        <v>78153.57452777779</v>
      </c>
      <c r="G25" s="49">
        <f>SUM(G21:G24)</f>
        <v>64823.089777777786</v>
      </c>
      <c r="I25" s="46">
        <f>SUM(I21:I24)</f>
        <v>17017.805138888889</v>
      </c>
      <c r="J25" s="49">
        <f>SUM(J21:J24)</f>
        <v>11899.107763888889</v>
      </c>
      <c r="P25" s="47">
        <f>E25+G25+J25</f>
        <v>215641.85448611111</v>
      </c>
    </row>
    <row r="27" spans="1:16" x14ac:dyDescent="0.3">
      <c r="E27" s="5">
        <f>E25+E17</f>
        <v>185444.23944444442</v>
      </c>
      <c r="F27" s="5">
        <f>F25+I17+N17</f>
        <v>91484.059277777778</v>
      </c>
      <c r="I27" s="5">
        <f>I25+G17</f>
        <v>22136.502513888889</v>
      </c>
      <c r="J27" s="5">
        <f>J25+G17</f>
        <v>17017.805138888889</v>
      </c>
      <c r="P27" s="5">
        <f>P25+P17</f>
        <v>280615.6191111111</v>
      </c>
    </row>
    <row r="28" spans="1:16" x14ac:dyDescent="0.3">
      <c r="F28">
        <f>50312.62+8189.71+13913.29+5497.17+240.79</f>
        <v>78153.579999999987</v>
      </c>
      <c r="G28" s="5">
        <f>F28-I17-N17</f>
        <v>64823.095249999991</v>
      </c>
      <c r="J28" s="5">
        <f>I25-J27</f>
        <v>0</v>
      </c>
    </row>
    <row r="29" spans="1:16" x14ac:dyDescent="0.3">
      <c r="F29">
        <f>F28-F25</f>
        <v>5.4722221975680441E-3</v>
      </c>
      <c r="G29" s="5">
        <f>G25-G28</f>
        <v>-5.4722222048440017E-3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01,10,2026</vt:lpstr>
      <vt:lpstr>ЛОГІКА</vt:lpstr>
      <vt:lpstr>розрах до логіки</vt:lpstr>
      <vt:lpstr>адм+вчит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cp:lastPrinted>2026-09-14T10:50:50Z</cp:lastPrinted>
  <dcterms:created xsi:type="dcterms:W3CDTF">2021-01-11T07:02:16Z</dcterms:created>
  <dcterms:modified xsi:type="dcterms:W3CDTF">2026-09-28T15:57:20Z</dcterms:modified>
</cp:coreProperties>
</file>